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tabRatio="852" firstSheet="11"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Т-подкл'!$73:$75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Т-подкл'!$76:$78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Предложение!$150:$152</definedName>
    <definedName name="OFFER_TARIFF_A_4">Предложение!$212:$214</definedName>
    <definedName name="OFFER_TARIFF_A_5">Предложение!$273:$275</definedName>
    <definedName name="OFFER_TARIFF_A_COLDVSNA_1">Предложение!$52:$54</definedName>
    <definedName name="OFFER_TARIFF_A_COLDVSNA_2">Предложение!$116:$118</definedName>
    <definedName name="OFFER_TARIFF_A_COLDVSNA_3">Предложение!$178:$180</definedName>
    <definedName name="OFFER_TARIFF_A_COLDVSNA_4">Предложение!$239:$241</definedName>
    <definedName name="OFFER_TARIFF_A_COLDVSNA_5">Предложение!$300:$302</definedName>
    <definedName name="OFFER_TARIFF_A_HOTVSNA_1">Предложение!$67:$69</definedName>
    <definedName name="OFFER_TARIFF_A_HOTVSNA_2">Предложение!$131:$133</definedName>
    <definedName name="OFFER_TARIFF_A_HOTVSNA_3">Предложение!$193:$195</definedName>
    <definedName name="OFFER_TARIFF_A_HOTVSNA_4">Предложение!$254:$256</definedName>
    <definedName name="OFFER_TARIFF_A_HOTVSNA_5">Предложение!$315:$317</definedName>
    <definedName name="OFFER_TARIFF_A_VOTV_1">Предложение!$76:$78</definedName>
    <definedName name="OFFER_TARIFF_A_VOTV_2">Предложение!$140:$142</definedName>
    <definedName name="OFFER_TARIFF_A_VOTV_3">Предложение!$202:$204</definedName>
    <definedName name="OFFER_TARIFF_A_VOTV_4">Предложение!$263:$265</definedName>
    <definedName name="OFFER_TARIFF_A_VOTV_5">Предложение!$324:$326</definedName>
    <definedName name="OFFER_TARIFF_B_1">Предложение!$27:$30</definedName>
    <definedName name="OFFER_TARIFF_B_2">Предложение!$91:$94</definedName>
    <definedName name="OFFER_TARIFF_B_3">Предложение!$153:$156</definedName>
    <definedName name="OFFER_TARIFF_B_4">Предложение!$215:$217</definedName>
    <definedName name="OFFER_TARIFF_B_5">Предложение!$276:$278</definedName>
    <definedName name="OFFER_TARIFF_B_COLDVSNA_1">Предложение!$55:$57</definedName>
    <definedName name="OFFER_TARIFF_B_COLDVSNA_2">Предложение!$119:$121</definedName>
    <definedName name="OFFER_TARIFF_B_COLDVSNA_3">Предложение!$181:$183</definedName>
    <definedName name="OFFER_TARIFF_B_COLDVSNA_4">Предложение!$242:$244</definedName>
    <definedName name="OFFER_TARIFF_B_COLDVSNA_5">Предложение!$303:$305</definedName>
    <definedName name="OFFER_TARIFF_B_HOTVSNA_1">Предложение!$70:$72</definedName>
    <definedName name="OFFER_TARIFF_B_HOTVSNA_2">Предложение!$134:$136</definedName>
    <definedName name="OFFER_TARIFF_B_HOTVSNA_3">Предложение!$196:$198</definedName>
    <definedName name="OFFER_TARIFF_B_HOTVSNA_4">Предложение!$257:$259</definedName>
    <definedName name="OFFER_TARIFF_B_HOTVSNA_5">Предложение!$318:$320</definedName>
    <definedName name="OFFER_TARIFF_B_VOTV_1">Предложение!$79:$81</definedName>
    <definedName name="OFFER_TARIFF_B_VOTV_2">Предложение!$143:$145</definedName>
    <definedName name="OFFER_TARIFF_B_VOTV_3">Предложение!$205:$207</definedName>
    <definedName name="OFFER_TARIFF_B_VOTV_4">Предложение!$266:$268</definedName>
    <definedName name="OFFER_TARIFF_B_VOTV_5">Предложение!$327:$329</definedName>
    <definedName name="OFFER_TARIFF_C_1">Предложение!$31:$33</definedName>
    <definedName name="OFFER_TARIFF_C_2">Предложение!$95:$97</definedName>
    <definedName name="OFFER_TARIFF_C_3">Предложение!$157:$159</definedName>
    <definedName name="OFFER_TARIFF_C_4">Предложение!$218:$220</definedName>
    <definedName name="OFFER_TARIFF_C_5">Предложение!$279:$281</definedName>
    <definedName name="OFFER_TARIFF_C_COLDVSNA_1">Предложение!$58:$60</definedName>
    <definedName name="OFFER_TARIFF_C_COLDVSNA_2">Предложение!$122:$124</definedName>
    <definedName name="OFFER_TARIFF_C_COLDVSNA_3">Предложение!$184:$186</definedName>
    <definedName name="OFFER_TARIFF_C_COLDVSNA_4">Предложение!$245:$247</definedName>
    <definedName name="OFFER_TARIFF_C_COLDVSNA_5">Предложение!$306:$308</definedName>
    <definedName name="OFFER_TARIFF_C_HOTVSNA_1">Предложение!$73:$75</definedName>
    <definedName name="OFFER_TARIFF_C_HOTVSNA_2">Предложение!$137:$139</definedName>
    <definedName name="OFFER_TARIFF_C_HOTVSNA_3">Предложение!$199:$201</definedName>
    <definedName name="OFFER_TARIFF_C_HOTVSNA_4">Предложение!$260:$262</definedName>
    <definedName name="OFFER_TARIFF_C_HOTVSNA_5">Предложение!$321:$323</definedName>
    <definedName name="OFFER_TARIFF_C_VOTV_1">Предложение!$82:$84</definedName>
    <definedName name="OFFER_TARIFF_C_VOTV_2">Предложение!$146:$148</definedName>
    <definedName name="OFFER_TARIFF_C_VOTV_3">Предложение!$208:$210</definedName>
    <definedName name="OFFER_TARIFF_C_VOTV_4">Предложение!$269:$271</definedName>
    <definedName name="OFFER_TARIFF_C_VOTV_5">Предложение!$330:$332</definedName>
    <definedName name="OFFER_TARIFF_D_1">Предложение!$34:$36</definedName>
    <definedName name="OFFER_TARIFF_D_2">Предложение!$98:$100</definedName>
    <definedName name="OFFER_TARIFF_D_3">Предложение!$160:$162</definedName>
    <definedName name="OFFER_TARIFF_D_4">Предложение!$221:$223</definedName>
    <definedName name="OFFER_TARIFF_D_5">Предложение!$282:$284</definedName>
    <definedName name="OFFER_TARIFF_D_COLDVSNA_1">Предложение!$61:$63</definedName>
    <definedName name="OFFER_TARIFF_D_COLDVSNA_2">Предложение!$125:$127</definedName>
    <definedName name="OFFER_TARIFF_D_COLDVSNA_3">Предложение!$187:$189</definedName>
    <definedName name="OFFER_TARIFF_D_COLDVSNA_4">Предложение!$248:$250</definedName>
    <definedName name="OFFER_TARIFF_D_COLDVSNA_5">Предложение!$309:$311</definedName>
    <definedName name="OFFER_TARIFF_E_COLDVSNA_1">Предложение!$64:$66</definedName>
    <definedName name="OFFER_TARIFF_E_COLDVSNA_2">Предложение!$128:$130</definedName>
    <definedName name="OFFER_TARIFF_E_COLDVSNA_3">Предложение!$190:$192</definedName>
    <definedName name="OFFER_TARIFF_E_COLDVSNA_4">Предложение!$251:$253</definedName>
    <definedName name="OFFER_TARIFF_E_COLDVSNA_5">Предложение!$312:$314</definedName>
    <definedName name="OFFER_TARIFF_E1_1">Предложение!$37:$39</definedName>
    <definedName name="OFFER_TARIFF_E1_2">Предложение!$101:$103</definedName>
    <definedName name="OFFER_TARIFF_E1_3">Предложение!$163:$165</definedName>
    <definedName name="OFFER_TARIFF_E1_4">Предложение!$224:$226</definedName>
    <definedName name="OFFER_TARIFF_E1_5">Предложение!$285:$287</definedName>
    <definedName name="OFFER_TARIFF_E2_1">Предложение!$40:$42</definedName>
    <definedName name="OFFER_TARIFF_E2_2">Предложение!$104:$106</definedName>
    <definedName name="OFFER_TARIFF_E2_3">Предложение!$166:$168</definedName>
    <definedName name="OFFER_TARIFF_E2_4">Предложение!$227:$229</definedName>
    <definedName name="OFFER_TARIFF_E2_5">Предложение!$288:$290</definedName>
    <definedName name="OFFER_TARIFF_F_1">Предложение!$43:$45</definedName>
    <definedName name="OFFER_TARIFF_F_2">Предложение!$107:$109</definedName>
    <definedName name="OFFER_TARIFF_F_3">Предложение!$169:$171</definedName>
    <definedName name="OFFER_TARIFF_F_4">Предложение!$230:$232</definedName>
    <definedName name="OFFER_TARIFF_F_5">Предложение!$291:$293</definedName>
    <definedName name="OFFER_TARIFF_G_1">Предложение!$46:$48</definedName>
    <definedName name="OFFER_TARIFF_G_2">Предложение!$110:$112</definedName>
    <definedName name="OFFER_TARIFF_G_3">Предложение!$172:$174</definedName>
    <definedName name="OFFER_TARIFF_G_4">Предложение!$233:$235</definedName>
    <definedName name="OFFER_TARIFF_G_5">Предложение!$294:$296</definedName>
    <definedName name="OFFER_TARIFF_H_1">Предложение!$49:$51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Предложение!$G$54</definedName>
    <definedName name="pIns_PT_VTAR_A_COLDVSNA_OFFER_2">Предложение!$G$118</definedName>
    <definedName name="pIns_PT_VTAR_A_COLDVSNA_OFFER_3">Предложение!$G$180</definedName>
    <definedName name="pIns_PT_VTAR_A_COLDVSNA_OFFER_4">Предложение!$G$241</definedName>
    <definedName name="pIns_PT_VTAR_A_COLDVSNA_OFFER_5">Предложение!$G$302</definedName>
    <definedName name="pIns_PT_VTAR_A_COLDVSNA_OFFER5">Предложение!$G$302</definedName>
    <definedName name="pIns_PT_VTAR_A_HOTVSNA">'ГВС. Т-гор.вода'!$T$54</definedName>
    <definedName name="pIns_PT_VTAR_A_HOTVSNA_OFFER_1">Предложение!$G$69</definedName>
    <definedName name="pIns_PT_VTAR_A_HOTVSNA_OFFER_2">Предложение!$G$133</definedName>
    <definedName name="pIns_PT_VTAR_A_HOTVSNA_OFFER_3">Предложение!$G$195</definedName>
    <definedName name="pIns_PT_VTAR_A_HOTVSNA_OFFER_4">Предложение!$G$256</definedName>
    <definedName name="pIns_PT_VTAR_A_HOTVSNA_OFFER_5">Предложение!$G$317</definedName>
    <definedName name="pIns_PT_VTAR_A_OFFER_1">Предложение!$G$26</definedName>
    <definedName name="pIns_PT_VTAR_A_OFFER_2">Предложение!$G$90</definedName>
    <definedName name="pIns_PT_VTAR_A_OFFER_3">Предложение!$G$152</definedName>
    <definedName name="pIns_PT_VTAR_A_OFFER_4">Предложение!$G$214</definedName>
    <definedName name="pIns_PT_VTAR_A_OFFER_5">Предложение!$G$275</definedName>
    <definedName name="pIns_PT_VTAR_A_VOTV">'ВО. Т-во'!$T$53</definedName>
    <definedName name="pIns_PT_VTAR_A_VOTV_OFFER_1">Предложение!$G$78</definedName>
    <definedName name="pIns_PT_VTAR_A_VOTV_OFFER_2">Предложение!$G$142</definedName>
    <definedName name="pIns_PT_VTAR_A_VOTV_OFFER_3">Предложение!$G$204</definedName>
    <definedName name="pIns_PT_VTAR_A_VOTV_OFFER_4">Предложение!$G$265</definedName>
    <definedName name="pIns_PT_VTAR_A_VOTV_OFFER_5">Предложение!$G$326</definedName>
    <definedName name="pIns_PT_VTAR_B">'ТС. Т-ТЭ | ТСО'!$T$57</definedName>
    <definedName name="pIns_PT_VTAR_B_COLDVSNA">'ХВС. Т-тех'!$T$53</definedName>
    <definedName name="pIns_PT_VTAR_B_COLDVSNA_OFFER_1">Предложение!$G$57</definedName>
    <definedName name="pIns_PT_VTAR_B_COLDVSNA_OFFER_2">Предложение!$G$121</definedName>
    <definedName name="pIns_PT_VTAR_B_COLDVSNA_OFFER_3">Предложение!$G$183</definedName>
    <definedName name="pIns_PT_VTAR_B_COLDVSNA_OFFER_4">Предложение!$G$244</definedName>
    <definedName name="pIns_PT_VTAR_B_COLDVSNA_OFFER_5">Предложение!$G$305</definedName>
    <definedName name="pIns_PT_VTAR_B_HOTVSNA">'ГВС. Т-транс'!$T$54</definedName>
    <definedName name="pIns_PT_VTAR_B_HOTVSNA_OFFER_1">Предложение!$G$72</definedName>
    <definedName name="pIns_PT_VTAR_B_HOTVSNA_OFFER_2">Предложение!$G$136</definedName>
    <definedName name="pIns_PT_VTAR_B_HOTVSNA_OFFER_3">Предложение!$G$198</definedName>
    <definedName name="pIns_PT_VTAR_B_HOTVSNA_OFFER_4">Предложение!$G$259</definedName>
    <definedName name="pIns_PT_VTAR_B_HOTVSNA_OFFER_5">Предложение!$G$320</definedName>
    <definedName name="pIns_PT_VTAR_B_OFFER_1">Предложение!$G$30</definedName>
    <definedName name="pIns_PT_VTAR_B_OFFER_2">Предложение!$G$94</definedName>
    <definedName name="pIns_PT_VTAR_B_OFFER_3">Предложение!$G$156</definedName>
    <definedName name="pIns_PT_VTAR_B_OFFER_4">Предложение!$G$217</definedName>
    <definedName name="pIns_PT_VTAR_B_OFFER_5">Предложение!$G$278</definedName>
    <definedName name="pIns_PT_VTAR_B_VOTV">'ВО. Т-транс'!$T$53</definedName>
    <definedName name="pIns_PT_VTAR_B_VOTV_OFFER_1">Предложение!$G$81</definedName>
    <definedName name="pIns_PT_VTAR_B_VOTV_OFFER_2">Предложение!$G$145</definedName>
    <definedName name="pIns_PT_VTAR_B_VOTV_OFFER_3">Предложение!$G$207</definedName>
    <definedName name="pIns_PT_VTAR_B_VOTV_OFFER_4">Предложение!$G$268</definedName>
    <definedName name="pIns_PT_VTAR_B_VOTV_OFFER_5">Предложение!$G$329</definedName>
    <definedName name="pIns_PT_VTAR_C">'ТС. Т-ТН'!$T$57</definedName>
    <definedName name="pIns_PT_VTAR_C_COLDVSNA">'ХВС. Т-транс'!$T$53</definedName>
    <definedName name="pIns_PT_VTAR_C_COLDVSNA_OFFER_1">Предложение!$G$60</definedName>
    <definedName name="pIns_PT_VTAR_C_COLDVSNA_OFFER_2">Предложение!$G$124</definedName>
    <definedName name="pIns_PT_VTAR_C_COLDVSNA_OFFER_3">Предложение!$G$186</definedName>
    <definedName name="pIns_PT_VTAR_C_COLDVSNA_OFFER_4">Предложение!$G$247</definedName>
    <definedName name="pIns_PT_VTAR_C_COLDVSNA_OFFER_5">Предложение!$G$308</definedName>
    <definedName name="pIns_PT_VTAR_C_HOTVSNA">'ГВС. Т-подкл'!$T$63</definedName>
    <definedName name="pIns_PT_VTAR_C_HOTVSNA_OFFER_1">Предложение!$G$75</definedName>
    <definedName name="pIns_PT_VTAR_C_HOTVSNA_OFFER_2">Предложение!$G$139</definedName>
    <definedName name="pIns_PT_VTAR_C_HOTVSNA_OFFER_3">Предложение!$G$201</definedName>
    <definedName name="pIns_PT_VTAR_C_HOTVSNA_OFFER_4">Предложение!$G$262</definedName>
    <definedName name="pIns_PT_VTAR_C_HOTVSNA_OFFER_5">Предложение!$G$323</definedName>
    <definedName name="pIns_PT_VTAR_C_OFFER_1">Предложение!$G$33</definedName>
    <definedName name="pIns_PT_VTAR_C_OFFER_2">Предложение!$G$97</definedName>
    <definedName name="pIns_PT_VTAR_C_OFFER_3">Предложение!$G$159</definedName>
    <definedName name="pIns_PT_VTAR_C_OFFER_4">Предложение!$G$220</definedName>
    <definedName name="pIns_PT_VTAR_C_OFFER_5">Предложение!$G$281</definedName>
    <definedName name="pIns_PT_VTAR_C_VOTV">'ВО. Т-подкл'!$T$63</definedName>
    <definedName name="pIns_PT_VTAR_C_VOTV_OFFER_1">Предложение!$G$84</definedName>
    <definedName name="pIns_PT_VTAR_C_VOTV_OFFER_2">Предложение!$G$148</definedName>
    <definedName name="pIns_PT_VTAR_C_VOTV_OFFER_3">Предложение!$G$210</definedName>
    <definedName name="pIns_PT_VTAR_C_VOTV_OFFER_4">Предложение!$G$271</definedName>
    <definedName name="pIns_PT_VTAR_C_VOTV_OFFER_5">Предложение!$G$332</definedName>
    <definedName name="pIns_PT_VTAR_D">'ТС. Т-гор.вода'!$V$65</definedName>
    <definedName name="pIns_PT_VTAR_D_COLDVSNA">'ХВС. Т-подвоз'!$T$53</definedName>
    <definedName name="pIns_PT_VTAR_D_COLDVSNA_OFFER_1">Предложение!$G$63</definedName>
    <definedName name="pIns_PT_VTAR_D_COLDVSNA_OFFER_2">Предложение!$G$127</definedName>
    <definedName name="pIns_PT_VTAR_D_COLDVSNA_OFFER_3">Предложение!$G$189</definedName>
    <definedName name="pIns_PT_VTAR_D_COLDVSNA_OFFER_4">Предложение!$G$250</definedName>
    <definedName name="pIns_PT_VTAR_D_COLDVSNA_OFFER_5">Предложение!$G$311</definedName>
    <definedName name="pIns_PT_VTAR_D_OFFER_1">Предложение!$G$36</definedName>
    <definedName name="pIns_PT_VTAR_D_OFFER_2">Предложение!$G$100</definedName>
    <definedName name="pIns_PT_VTAR_D_OFFER_3">Предложение!$G$162</definedName>
    <definedName name="pIns_PT_VTAR_D_OFFER_4">Предложение!$G$223</definedName>
    <definedName name="pIns_PT_VTAR_D_OFFER_5">Предложение!$G$284</definedName>
    <definedName name="pIns_PT_VTAR_E_COLDVSNA">'ХВС. Т-подкл'!$T$63</definedName>
    <definedName name="pIns_PT_VTAR_E_COLDVSNA_OFFER_1">Предложение!$G$66</definedName>
    <definedName name="pIns_PT_VTAR_E_COLDVSNA_OFFER_2">Предложение!$G$130</definedName>
    <definedName name="pIns_PT_VTAR_E_COLDVSNA_OFFER_3">Предложение!$G$192</definedName>
    <definedName name="pIns_PT_VTAR_E_COLDVSNA_OFFER_4">Предложение!$G$253</definedName>
    <definedName name="pIns_PT_VTAR_E_COLDVSNA_OFFER_5">Предложение!$G$314</definedName>
    <definedName name="pIns_PT_VTAR_E1">'ТС. Т-передача ТЭ'!$T$57</definedName>
    <definedName name="pIns_PT_VTAR_E1_OFFER_1">Предложение!$G$39</definedName>
    <definedName name="pIns_PT_VTAR_E1_OFFER_2">Предложение!$G$103</definedName>
    <definedName name="pIns_PT_VTAR_E1_OFFER_3">Предложение!$G$165</definedName>
    <definedName name="pIns_PT_VTAR_E1_OFFER_4">Предложение!$G$226</definedName>
    <definedName name="pIns_PT_VTAR_E1_OFFER_5">Предложение!$G$287</definedName>
    <definedName name="pIns_PT_VTAR_E2">'ТС. Т-передача ТН'!$T$57</definedName>
    <definedName name="pIns_PT_VTAR_E2_OFFER_1">Предложение!$G$42</definedName>
    <definedName name="pIns_PT_VTAR_E2_OFFER_2">Предложение!$G$106</definedName>
    <definedName name="pIns_PT_VTAR_E2_OFFER_3">Предложение!$G$168</definedName>
    <definedName name="pIns_PT_VTAR_E2_OFFER_4">Предложение!$G$229</definedName>
    <definedName name="pIns_PT_VTAR_E2_OFFER_5">Предложение!$G$290</definedName>
    <definedName name="pIns_PT_VTAR_F">'ТС. Резерв мощности'!$T$57</definedName>
    <definedName name="pIns_PT_VTAR_F_OFFER_1">Предложение!$G$45</definedName>
    <definedName name="pIns_PT_VTAR_F_OFFER_2">Предложение!$G$109</definedName>
    <definedName name="pIns_PT_VTAR_F_OFFER_3">Предложение!$G$171</definedName>
    <definedName name="pIns_PT_VTAR_F_OFFER_4">Предложение!$G$232</definedName>
    <definedName name="pIns_PT_VTAR_F_OFFER_5">Предложение!$G$293</definedName>
    <definedName name="pIns_PT_VTAR_G">'ТС. Т-подкл'!$T$72</definedName>
    <definedName name="pIns_PT_VTAR_G_OFFER_1">Предложение!$G$48</definedName>
    <definedName name="pIns_PT_VTAR_G_OFFER_2">Предложение!$G$112</definedName>
    <definedName name="pIns_PT_VTAR_G_OFFER_3">Предложение!$G$174</definedName>
    <definedName name="pIns_PT_VTAR_G_OFFER_4">Предложение!$G$235</definedName>
    <definedName name="pIns_PT_VTAR_G_OFFER_5">Предложение!$G$296</definedName>
    <definedName name="pIns_PT_VTAR_H">'ТС. Т-подкл(инд)'!$T$56</definedName>
    <definedName name="pIns_PT_VTAR_H_OFFER_1">Предложение!$G$51</definedName>
    <definedName name="pIns_PT_VTAR_H_OFFER_2">Предложение!$G$115</definedName>
    <definedName name="pIns_PT_VTAR_H_OFFER_3">Предложение!$G$177</definedName>
    <definedName name="pIns_PT_VTAR_H_OFFER_4">Предложение!$G$238</definedName>
    <definedName name="pIns_PT_VTAR_H_OFFER_5">Предложение!$G$299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Т-подкл'!$47:$68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Т-подкл'!$48:$67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Т-подкл'!$45:$71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Т-подкл'!$46:$69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Предложение!$L$333</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Предложение!$L$333</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Т-подкл'!$AT$73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N9" i="53" a="1"/>
  <c r="N9" i="53"/>
  <c r="J9" i="53"/>
  <c r="P9" i="53" s="1"/>
  <c r="E5" i="53"/>
  <c r="P2" i="53"/>
  <c r="N2" i="53" a="1"/>
  <c r="N2" i="53" s="1"/>
  <c r="G24" i="52"/>
  <c r="G12" i="52"/>
  <c r="F12" i="52"/>
  <c r="F10" i="55"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F32" i="51"/>
  <c r="E32" i="51"/>
  <c r="F29" i="51"/>
  <c r="E29" i="51"/>
  <c r="L5" i="51"/>
  <c r="L4" i="51"/>
  <c r="L3" i="51"/>
  <c r="L6" i="51" s="1"/>
  <c r="I14" i="50"/>
  <c r="G14" i="50"/>
  <c r="G11" i="50"/>
  <c r="G10" i="50"/>
  <c r="G9" i="50"/>
  <c r="D6" i="50"/>
  <c r="E13" i="49"/>
  <c r="H12" i="49"/>
  <c r="E12" i="49"/>
  <c r="E11" i="49"/>
  <c r="E10" i="49"/>
  <c r="D6" i="49"/>
  <c r="D5" i="49"/>
  <c r="F272" i="48"/>
  <c r="F211" i="48"/>
  <c r="F149" i="48"/>
  <c r="K110" i="48"/>
  <c r="M88" i="48"/>
  <c r="M24" i="48"/>
  <c r="G17" i="48"/>
  <c r="F17" i="48"/>
  <c r="G16" i="48"/>
  <c r="F16" i="48"/>
  <c r="E14" i="48"/>
  <c r="N7" i="48"/>
  <c r="N4" i="48"/>
  <c r="N1" i="48"/>
  <c r="E42" i="47"/>
  <c r="E35" i="47"/>
  <c r="E31" i="47"/>
  <c r="E25" i="47"/>
  <c r="D15" i="47"/>
  <c r="D14" i="47"/>
  <c r="G17"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X45" i="32"/>
  <c r="AY45" i="32" s="1"/>
  <c r="AW45" i="32"/>
  <c r="AA45" i="32"/>
  <c r="AC45" i="32" s="1"/>
  <c r="AD45" i="32" s="1"/>
  <c r="W45" i="32"/>
  <c r="X45" i="32" s="1"/>
  <c r="Y45" i="32" s="1"/>
  <c r="Z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S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S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N41" i="30"/>
  <c r="AO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X40" i="28"/>
  <c r="Y40" i="28" s="1"/>
  <c r="Z40" i="28" s="1"/>
  <c r="AB40" i="28" s="1"/>
  <c r="AC40" i="28" s="1"/>
  <c r="AD40" i="28" s="1"/>
  <c r="AE40" i="28" s="1"/>
  <c r="AF40" i="28" s="1"/>
  <c r="AG40" i="28" s="1"/>
  <c r="AI40" i="28" s="1"/>
  <c r="AJ40" i="28" s="1"/>
  <c r="AK40" i="28" s="1"/>
  <c r="V40" i="28"/>
  <c r="W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W40" i="27"/>
  <c r="X40" i="27" s="1"/>
  <c r="Y40" i="27" s="1"/>
  <c r="Z40" i="27" s="1"/>
  <c r="AB40" i="27" s="1"/>
  <c r="AC40" i="27" s="1"/>
  <c r="AD40" i="27" s="1"/>
  <c r="AE40" i="27" s="1"/>
  <c r="AF40" i="27" s="1"/>
  <c r="AG40" i="27" s="1"/>
  <c r="AI40" i="27" s="1"/>
  <c r="AJ40" i="27" s="1"/>
  <c r="AK40" i="27" s="1"/>
  <c r="U40" i="27"/>
  <c r="V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X45" i="26"/>
  <c r="AY45" i="26" s="1"/>
  <c r="AW45" i="26"/>
  <c r="AA45" i="26"/>
  <c r="AC45" i="26" s="1"/>
  <c r="AD45" i="26" s="1"/>
  <c r="W45" i="26"/>
  <c r="X45" i="26" s="1"/>
  <c r="Y45" i="26" s="1"/>
  <c r="Z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Y40" i="24"/>
  <c r="Z40" i="24" s="1"/>
  <c r="AB40" i="24" s="1"/>
  <c r="AC40" i="24" s="1"/>
  <c r="AD40" i="24" s="1"/>
  <c r="AE40" i="24" s="1"/>
  <c r="AF40" i="24" s="1"/>
  <c r="AG40" i="24" s="1"/>
  <c r="AI40" i="24" s="1"/>
  <c r="AJ40" i="24" s="1"/>
  <c r="AK40" i="24" s="1"/>
  <c r="U40" i="24"/>
  <c r="V40" i="24" s="1"/>
  <c r="W40" i="24" s="1"/>
  <c r="X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Z40" i="23"/>
  <c r="AB40" i="23" s="1"/>
  <c r="AC40" i="23" s="1"/>
  <c r="AD40" i="23" s="1"/>
  <c r="AE40" i="23" s="1"/>
  <c r="AF40" i="23" s="1"/>
  <c r="AG40" i="23" s="1"/>
  <c r="AI40" i="23" s="1"/>
  <c r="AJ40" i="23" s="1"/>
  <c r="AK40" i="23" s="1"/>
  <c r="V40" i="23"/>
  <c r="W40" i="23" s="1"/>
  <c r="X40" i="23" s="1"/>
  <c r="Y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S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Y40" i="22"/>
  <c r="Z40" i="22" s="1"/>
  <c r="AB40" i="22" s="1"/>
  <c r="AC40" i="22" s="1"/>
  <c r="AD40" i="22" s="1"/>
  <c r="AE40" i="22" s="1"/>
  <c r="AF40" i="22" s="1"/>
  <c r="AG40" i="22" s="1"/>
  <c r="AI40" i="22" s="1"/>
  <c r="AJ40" i="22" s="1"/>
  <c r="AK40" i="22" s="1"/>
  <c r="U40" i="22"/>
  <c r="V40" i="22" s="1"/>
  <c r="W40" i="22" s="1"/>
  <c r="X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Z40" i="21"/>
  <c r="AB40" i="21" s="1"/>
  <c r="AC40" i="21" s="1"/>
  <c r="AD40" i="21" s="1"/>
  <c r="AE40" i="21" s="1"/>
  <c r="AF40" i="21" s="1"/>
  <c r="AG40" i="21" s="1"/>
  <c r="AI40" i="21" s="1"/>
  <c r="AJ40" i="21" s="1"/>
  <c r="AK40" i="21" s="1"/>
  <c r="V40" i="21"/>
  <c r="W40" i="21" s="1"/>
  <c r="X40" i="21" s="1"/>
  <c r="Y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X72" i="20"/>
  <c r="AX71" i="20"/>
  <c r="AX70" i="20"/>
  <c r="AX69" i="20"/>
  <c r="AX68" i="20"/>
  <c r="AX67" i="20"/>
  <c r="AX66" i="20"/>
  <c r="AX65" i="20"/>
  <c r="AX64" i="20"/>
  <c r="AO64" i="20"/>
  <c r="W64" i="20"/>
  <c r="AX61" i="20"/>
  <c r="K61" i="20"/>
  <c r="S61" i="20" s="1"/>
  <c r="AX59" i="20"/>
  <c r="AX58" i="20"/>
  <c r="AO58" i="20"/>
  <c r="W58" i="20"/>
  <c r="AX55" i="20"/>
  <c r="AX54" i="20"/>
  <c r="AO54" i="20"/>
  <c r="W54" i="20"/>
  <c r="AX51" i="20"/>
  <c r="AX50" i="20"/>
  <c r="AX49" i="20"/>
  <c r="AX48" i="20"/>
  <c r="AX47" i="20"/>
  <c r="AX46" i="20"/>
  <c r="AX45" i="20"/>
  <c r="AU45" i="20"/>
  <c r="AN44" i="20"/>
  <c r="AO44" i="20" s="1"/>
  <c r="AP44" i="20" s="1"/>
  <c r="AQ44" i="20" s="1"/>
  <c r="AS44" i="20" s="1"/>
  <c r="AT44" i="20" s="1"/>
  <c r="AU44" i="20" s="1"/>
  <c r="X44" i="20"/>
  <c r="Y44" i="20" s="1"/>
  <c r="AA44" i="20" s="1"/>
  <c r="AB44" i="20" s="1"/>
  <c r="V44" i="20"/>
  <c r="W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K48" i="19"/>
  <c r="AL48" i="19" s="1"/>
  <c r="AM48" i="19" s="1"/>
  <c r="AO48" i="19" s="1"/>
  <c r="AP48" i="19" s="1"/>
  <c r="AQ48" i="19" s="1"/>
  <c r="AJ48" i="19"/>
  <c r="AG48" i="19"/>
  <c r="AB48" i="19"/>
  <c r="AC48" i="19" s="1"/>
  <c r="AD48" i="19" s="1"/>
  <c r="AF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L42" i="18"/>
  <c r="AM42" i="18" s="1"/>
  <c r="AG42" i="18"/>
  <c r="AH42" i="18" s="1"/>
  <c r="AI42" i="18" s="1"/>
  <c r="AK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I42" i="17"/>
  <c r="AK42" i="17" s="1"/>
  <c r="AL42" i="17" s="1"/>
  <c r="AM42" i="17" s="1"/>
  <c r="AG42" i="17"/>
  <c r="AH42" i="17" s="1"/>
  <c r="AF42" i="17"/>
  <c r="AA42" i="17"/>
  <c r="AC42" i="17" s="1"/>
  <c r="AD42" i="17" s="1"/>
  <c r="Y42" i="17"/>
  <c r="Z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G42" i="16"/>
  <c r="AH42" i="16" s="1"/>
  <c r="AI42" i="16" s="1"/>
  <c r="AK42" i="16" s="1"/>
  <c r="AL42" i="16" s="1"/>
  <c r="AM42" i="16" s="1"/>
  <c r="AF42" i="16"/>
  <c r="AD42" i="16"/>
  <c r="Y42" i="16"/>
  <c r="Z42" i="16" s="1"/>
  <c r="AA42" i="16" s="1"/>
  <c r="AC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H42" i="15"/>
  <c r="AI42" i="15" s="1"/>
  <c r="AK42" i="15" s="1"/>
  <c r="AL42" i="15" s="1"/>
  <c r="AM42" i="15" s="1"/>
  <c r="AF42" i="15"/>
  <c r="AG42" i="15" s="1"/>
  <c r="AC42" i="15"/>
  <c r="AD42" i="15" s="1"/>
  <c r="X42" i="15"/>
  <c r="Y42" i="15" s="1"/>
  <c r="Z42" i="15" s="1"/>
  <c r="AA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Z42" i="14"/>
  <c r="AA42" i="14" s="1"/>
  <c r="AC42" i="14" s="1"/>
  <c r="AD42" i="14" s="1"/>
  <c r="X42" i="14"/>
  <c r="Y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H42" i="13"/>
  <c r="AI42" i="13" s="1"/>
  <c r="AK42" i="13" s="1"/>
  <c r="AL42" i="13" s="1"/>
  <c r="AM42" i="13" s="1"/>
  <c r="AF42" i="13"/>
  <c r="AG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AX44" i="12"/>
  <c r="AX43" i="12"/>
  <c r="AU43" i="12"/>
  <c r="S43" i="12"/>
  <c r="AO42" i="12"/>
  <c r="AP42" i="12" s="1"/>
  <c r="AQ42" i="12" s="1"/>
  <c r="AS42" i="12" s="1"/>
  <c r="AT42" i="12" s="1"/>
  <c r="AU42" i="12" s="1"/>
  <c r="AN42" i="12"/>
  <c r="AG42" i="12"/>
  <c r="AH42" i="12" s="1"/>
  <c r="AI42" i="12" s="1"/>
  <c r="AK42" i="12" s="1"/>
  <c r="AL42" i="12" s="1"/>
  <c r="AF42" i="12"/>
  <c r="Y42" i="12"/>
  <c r="Z42" i="12" s="1"/>
  <c r="AA42" i="12" s="1"/>
  <c r="AC42" i="12" s="1"/>
  <c r="AD42" i="12" s="1"/>
  <c r="X42" i="12"/>
  <c r="V42" i="12"/>
  <c r="U42" i="12"/>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I6" i="12"/>
  <c r="J7" i="12" s="1"/>
  <c r="AX5" i="12"/>
  <c r="AD5" i="12"/>
  <c r="S5" i="12"/>
  <c r="AX4" i="12"/>
  <c r="AD4" i="12"/>
  <c r="S4" i="12"/>
  <c r="AX3" i="12"/>
  <c r="AD3" i="12"/>
  <c r="S3" i="12"/>
  <c r="AX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S45" i="14" s="1"/>
  <c r="AO63" i="5"/>
  <c r="AN63" i="5"/>
  <c r="AM63" i="5"/>
  <c r="AD46" i="14" s="1"/>
  <c r="AL63" i="5"/>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H53" i="5"/>
  <c r="G53" i="5"/>
  <c r="AI53" i="5" s="1"/>
  <c r="AQ48" i="5"/>
  <c r="S46" i="15" s="1"/>
  <c r="I47" i="15" s="1"/>
  <c r="AP48" i="5"/>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K33" i="5"/>
  <c r="AG50" i="19" s="1"/>
  <c r="AJ33" i="5"/>
  <c r="AI33" i="5"/>
  <c r="AH33" i="5"/>
  <c r="AQ28" i="5"/>
  <c r="L22" i="64" s="1"/>
  <c r="F23" i="64" s="1"/>
  <c r="AP28" i="5"/>
  <c r="AO28" i="5"/>
  <c r="L20" i="64" s="1"/>
  <c r="AN28" i="5"/>
  <c r="AM28" i="5"/>
  <c r="AL28" i="5"/>
  <c r="O21" i="64" s="1"/>
  <c r="AK28" i="5"/>
  <c r="AJ28" i="5"/>
  <c r="AI28" i="5"/>
  <c r="AH28" i="5"/>
  <c r="AQ18" i="5"/>
  <c r="S46" i="12" s="1"/>
  <c r="I47" i="12" s="1"/>
  <c r="AP18" i="5"/>
  <c r="S45" i="12" s="1"/>
  <c r="AO18" i="5"/>
  <c r="S44" i="12" s="1"/>
  <c r="AN18" i="5"/>
  <c r="AM18" i="5"/>
  <c r="AD46" i="12" s="1"/>
  <c r="AL18" i="5"/>
  <c r="AD45" i="12" s="1"/>
  <c r="AK18" i="5"/>
  <c r="AD44" i="12" s="1"/>
  <c r="AJ18" i="5"/>
  <c r="AH18" i="5"/>
  <c r="G18" i="5"/>
  <c r="AI18" i="5" s="1"/>
  <c r="AQ13" i="5"/>
  <c r="S46" i="11" s="1"/>
  <c r="I47" i="11" s="1"/>
  <c r="AP13" i="5"/>
  <c r="S45" i="11" s="1"/>
  <c r="AO13" i="5"/>
  <c r="S44" i="11" s="1"/>
  <c r="AN13" i="5"/>
  <c r="S43" i="11" s="1"/>
  <c r="AM13" i="5"/>
  <c r="AL13" i="5"/>
  <c r="AD45" i="11" s="1"/>
  <c r="AK13" i="5"/>
  <c r="AJ13" i="5"/>
  <c r="AD43" i="11" s="1"/>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T47" i="31"/>
  <c r="AT7" i="30"/>
  <c r="AL46" i="28"/>
  <c r="AL7" i="27"/>
  <c r="AL8" i="25"/>
  <c r="AL7" i="24"/>
  <c r="AL46" i="23"/>
  <c r="AL7" i="22"/>
  <c r="AL46" i="21"/>
  <c r="AV59" i="20"/>
  <c r="AV55" i="20"/>
  <c r="AV8" i="20"/>
  <c r="AR8" i="19"/>
  <c r="AN8" i="18"/>
  <c r="AN8" i="17"/>
  <c r="AN8" i="16"/>
  <c r="AT47" i="30"/>
  <c r="AL7" i="28"/>
  <c r="AL46" i="24"/>
  <c r="AL46" i="22"/>
  <c r="AR56" i="19"/>
  <c r="AN49" i="17"/>
  <c r="AN49" i="15"/>
  <c r="AN8" i="15"/>
  <c r="AV49" i="12"/>
  <c r="AT7" i="31"/>
  <c r="AL7" i="23"/>
  <c r="AL7" i="21"/>
  <c r="AV61" i="20"/>
  <c r="AN49" i="18"/>
  <c r="AN49" i="13"/>
  <c r="AN8" i="13"/>
  <c r="J13" i="3"/>
  <c r="AL46" i="27"/>
  <c r="AL48" i="25"/>
  <c r="AV51" i="20"/>
  <c r="AR55" i="19"/>
  <c r="AN49" i="16"/>
  <c r="AN8" i="14"/>
  <c r="AN8" i="11"/>
  <c r="AN49" i="14"/>
  <c r="AV8" i="12"/>
  <c r="AN49" i="11"/>
  <c r="J45" i="21" l="1"/>
  <c r="S44" i="21"/>
  <c r="J45" i="23"/>
  <c r="S44" i="23"/>
  <c r="J46" i="31"/>
  <c r="S45" i="31"/>
  <c r="J45" i="27"/>
  <c r="S44" i="27"/>
  <c r="D36" i="7"/>
  <c r="D34" i="7"/>
  <c r="D37" i="7"/>
  <c r="D38" i="7" s="1"/>
  <c r="D39" i="7" s="1"/>
  <c r="D35" i="7"/>
  <c r="K8" i="12"/>
  <c r="S8" i="12" s="1"/>
  <c r="S7" i="12"/>
  <c r="I10" i="50"/>
  <c r="I27" i="40"/>
  <c r="I11" i="38"/>
  <c r="I11" i="37"/>
  <c r="M11" i="35"/>
  <c r="H10" i="45"/>
  <c r="I8" i="39"/>
  <c r="H15" i="34"/>
  <c r="I26" i="33"/>
  <c r="J48" i="11"/>
  <c r="S47" i="11"/>
  <c r="J48" i="12"/>
  <c r="S47" i="12"/>
  <c r="K55" i="19"/>
  <c r="U54" i="19"/>
  <c r="J48" i="18"/>
  <c r="I47" i="18"/>
  <c r="J48" i="15"/>
  <c r="S47" i="15"/>
  <c r="K8" i="11"/>
  <c r="S8" i="11" s="1"/>
  <c r="S7" i="11"/>
  <c r="K8" i="17"/>
  <c r="S8" i="17" s="1"/>
  <c r="S7" i="17"/>
  <c r="K8" i="19"/>
  <c r="U7" i="19"/>
  <c r="O20" i="64"/>
  <c r="AD44" i="16"/>
  <c r="O22" i="64"/>
  <c r="AD46" i="16"/>
  <c r="F49" i="48"/>
  <c r="F297" i="48"/>
  <c r="F175" i="48"/>
  <c r="F236" i="48"/>
  <c r="F113" i="48"/>
  <c r="G297" i="48"/>
  <c r="G236" i="48"/>
  <c r="G175" i="48"/>
  <c r="G113" i="48"/>
  <c r="G49" i="48"/>
  <c r="AD45" i="14"/>
  <c r="AD45" i="13"/>
  <c r="G300" i="48"/>
  <c r="G239" i="48"/>
  <c r="G178" i="48"/>
  <c r="G116" i="48"/>
  <c r="G52" i="48"/>
  <c r="AC41" i="21"/>
  <c r="F55" i="48"/>
  <c r="F303" i="48"/>
  <c r="F181" i="48"/>
  <c r="F242" i="48"/>
  <c r="F119" i="48"/>
  <c r="G303" i="48"/>
  <c r="G242" i="48"/>
  <c r="G181" i="48"/>
  <c r="G119" i="48"/>
  <c r="G55" i="48"/>
  <c r="F58" i="48"/>
  <c r="F245" i="48"/>
  <c r="F122" i="48"/>
  <c r="F306" i="48"/>
  <c r="F184" i="48"/>
  <c r="G309" i="48"/>
  <c r="G248" i="48"/>
  <c r="G187" i="48"/>
  <c r="G125" i="48"/>
  <c r="G61" i="48"/>
  <c r="J45" i="24"/>
  <c r="S44" i="24"/>
  <c r="F64" i="48"/>
  <c r="F251" i="48"/>
  <c r="F128" i="48"/>
  <c r="F312" i="48"/>
  <c r="F190" i="48"/>
  <c r="G312" i="48"/>
  <c r="G251" i="48"/>
  <c r="G190" i="48"/>
  <c r="G128" i="48"/>
  <c r="G64" i="48"/>
  <c r="F67" i="48"/>
  <c r="F315" i="48"/>
  <c r="F193" i="48"/>
  <c r="F254" i="48"/>
  <c r="F131" i="48"/>
  <c r="G315" i="48"/>
  <c r="G254" i="48"/>
  <c r="G193" i="48"/>
  <c r="G131" i="48"/>
  <c r="G67" i="48"/>
  <c r="J46" i="30"/>
  <c r="S45" i="30"/>
  <c r="F79" i="48"/>
  <c r="F327" i="48"/>
  <c r="F205" i="48"/>
  <c r="F266" i="48"/>
  <c r="F143" i="48"/>
  <c r="F82" i="48"/>
  <c r="F269" i="48"/>
  <c r="F146" i="48"/>
  <c r="F330" i="48"/>
  <c r="F208" i="48"/>
  <c r="G330" i="48"/>
  <c r="G269" i="48"/>
  <c r="G208" i="48"/>
  <c r="G146" i="48"/>
  <c r="G82" i="48"/>
  <c r="AD46" i="29"/>
  <c r="AD43" i="14"/>
  <c r="K8" i="16"/>
  <c r="S8" i="16" s="1"/>
  <c r="S7" i="16"/>
  <c r="F273" i="48"/>
  <c r="F212" i="48"/>
  <c r="F150" i="48"/>
  <c r="F24" i="48"/>
  <c r="F88" i="48"/>
  <c r="G88" i="48"/>
  <c r="G24" i="48"/>
  <c r="G273" i="48"/>
  <c r="G150" i="48"/>
  <c r="G212" i="48"/>
  <c r="G5" i="48"/>
  <c r="G2" i="48"/>
  <c r="G24" i="64"/>
  <c r="L23" i="64"/>
  <c r="J48" i="17"/>
  <c r="I47" i="17"/>
  <c r="F110" i="48"/>
  <c r="F46" i="48"/>
  <c r="F233" i="48"/>
  <c r="F294" i="48"/>
  <c r="F172" i="48"/>
  <c r="G294" i="48"/>
  <c r="G233" i="48"/>
  <c r="G172" i="48"/>
  <c r="G46" i="48"/>
  <c r="G110" i="48"/>
  <c r="S43" i="14"/>
  <c r="S43" i="13"/>
  <c r="F52" i="48"/>
  <c r="F239" i="48"/>
  <c r="F116" i="48"/>
  <c r="F300" i="48"/>
  <c r="F178" i="48"/>
  <c r="J45" i="22"/>
  <c r="S44" i="22"/>
  <c r="G306" i="48"/>
  <c r="G245" i="48"/>
  <c r="G184" i="48"/>
  <c r="G122" i="48"/>
  <c r="G58" i="48"/>
  <c r="AC41" i="23"/>
  <c r="F61" i="48"/>
  <c r="F309" i="48"/>
  <c r="F187" i="48"/>
  <c r="F248" i="48"/>
  <c r="F125" i="48"/>
  <c r="F70" i="48"/>
  <c r="F257" i="48"/>
  <c r="F134" i="48"/>
  <c r="F318" i="48"/>
  <c r="F196" i="48"/>
  <c r="G318" i="48"/>
  <c r="G257" i="48"/>
  <c r="G196" i="48"/>
  <c r="G134" i="48"/>
  <c r="G70" i="48"/>
  <c r="AG42" i="31"/>
  <c r="F73" i="48"/>
  <c r="F321" i="48"/>
  <c r="F199" i="48"/>
  <c r="F260" i="48"/>
  <c r="F137" i="48"/>
  <c r="G321" i="48"/>
  <c r="G260" i="48"/>
  <c r="G199" i="48"/>
  <c r="G137" i="48"/>
  <c r="G73" i="48"/>
  <c r="F76" i="48"/>
  <c r="F263" i="48"/>
  <c r="F140" i="48"/>
  <c r="F324" i="48"/>
  <c r="F202" i="48"/>
  <c r="G324" i="48"/>
  <c r="G263" i="48"/>
  <c r="G202" i="48"/>
  <c r="G140" i="48"/>
  <c r="G76" i="48"/>
  <c r="AC41" i="27"/>
  <c r="G327" i="48"/>
  <c r="G266" i="48"/>
  <c r="G205" i="48"/>
  <c r="G143" i="48"/>
  <c r="G79" i="48"/>
  <c r="AC41" i="28"/>
  <c r="J45" i="28"/>
  <c r="S44" i="28"/>
  <c r="D21" i="7"/>
  <c r="D23" i="7"/>
  <c r="J7" i="13"/>
  <c r="S6" i="13"/>
  <c r="S45" i="13"/>
  <c r="J7" i="15"/>
  <c r="S6" i="15"/>
  <c r="S44" i="16"/>
  <c r="S46" i="16"/>
  <c r="AB45" i="20"/>
  <c r="AC42" i="25"/>
  <c r="AD46" i="26"/>
  <c r="J6" i="28"/>
  <c r="S5" i="28"/>
  <c r="AD46" i="32"/>
  <c r="I31" i="33"/>
  <c r="I136" i="33" s="1"/>
  <c r="H31" i="33"/>
  <c r="H136" i="33" s="1"/>
  <c r="I9" i="50"/>
  <c r="I26" i="40"/>
  <c r="I10" i="38"/>
  <c r="I10" i="37"/>
  <c r="M10" i="35"/>
  <c r="H14" i="34"/>
  <c r="H9" i="45"/>
  <c r="I7" i="39"/>
  <c r="I25" i="33"/>
  <c r="I11" i="50"/>
  <c r="I28" i="40"/>
  <c r="I12" i="38"/>
  <c r="I12" i="37"/>
  <c r="M12" i="35"/>
  <c r="H16" i="34"/>
  <c r="H11" i="45"/>
  <c r="I9" i="39"/>
  <c r="I27" i="33"/>
  <c r="F91" i="48"/>
  <c r="F27" i="48"/>
  <c r="F215" i="48"/>
  <c r="F276" i="48"/>
  <c r="F153" i="48"/>
  <c r="G276" i="48"/>
  <c r="G215" i="48"/>
  <c r="G153" i="48"/>
  <c r="G27" i="48"/>
  <c r="G91" i="48"/>
  <c r="F95" i="48"/>
  <c r="F31" i="48"/>
  <c r="F279" i="48"/>
  <c r="F157" i="48"/>
  <c r="F218" i="48"/>
  <c r="O19" i="64"/>
  <c r="G279" i="48"/>
  <c r="G218" i="48"/>
  <c r="G157" i="48"/>
  <c r="G95" i="48"/>
  <c r="G31" i="48"/>
  <c r="AD43" i="16"/>
  <c r="L19" i="64"/>
  <c r="S43" i="16"/>
  <c r="L21" i="64"/>
  <c r="S45" i="16"/>
  <c r="F98" i="48"/>
  <c r="F34" i="48"/>
  <c r="F221" i="48"/>
  <c r="F282" i="48"/>
  <c r="F160" i="48"/>
  <c r="G282" i="48"/>
  <c r="G221" i="48"/>
  <c r="G160" i="48"/>
  <c r="G34" i="48"/>
  <c r="G98" i="48"/>
  <c r="AG49" i="19"/>
  <c r="F101" i="48"/>
  <c r="F37" i="48"/>
  <c r="F285" i="48"/>
  <c r="F163" i="48"/>
  <c r="F224" i="48"/>
  <c r="G285" i="48"/>
  <c r="G224" i="48"/>
  <c r="G163" i="48"/>
  <c r="G101" i="48"/>
  <c r="G37" i="48"/>
  <c r="AD43" i="17"/>
  <c r="F104" i="48"/>
  <c r="F40" i="48"/>
  <c r="F227" i="48"/>
  <c r="F288" i="48"/>
  <c r="F166" i="48"/>
  <c r="G288" i="48"/>
  <c r="G227" i="48"/>
  <c r="G166" i="48"/>
  <c r="G40" i="48"/>
  <c r="G104" i="48"/>
  <c r="AD43" i="18"/>
  <c r="F107" i="48"/>
  <c r="F43" i="48"/>
  <c r="F291" i="48"/>
  <c r="F169" i="48"/>
  <c r="F230" i="48"/>
  <c r="G291" i="48"/>
  <c r="G230" i="48"/>
  <c r="G169" i="48"/>
  <c r="G107" i="48"/>
  <c r="G43" i="48"/>
  <c r="AD43" i="15"/>
  <c r="K64" i="20"/>
  <c r="K60" i="20"/>
  <c r="K59" i="20"/>
  <c r="S59" i="20" s="1"/>
  <c r="K58" i="20"/>
  <c r="K56" i="20"/>
  <c r="K55" i="20"/>
  <c r="S55" i="20" s="1"/>
  <c r="K57" i="20"/>
  <c r="K51" i="20"/>
  <c r="S51" i="20" s="1"/>
  <c r="J50" i="20"/>
  <c r="I49" i="20"/>
  <c r="K48" i="25"/>
  <c r="S48" i="25" s="1"/>
  <c r="J47" i="25"/>
  <c r="I46" i="25"/>
  <c r="S44" i="14"/>
  <c r="S44" i="13"/>
  <c r="S46" i="14"/>
  <c r="I47" i="14" s="1"/>
  <c r="S46" i="13"/>
  <c r="I47" i="13" s="1"/>
  <c r="D20" i="7"/>
  <c r="S6" i="11"/>
  <c r="S6" i="12"/>
  <c r="AD43" i="12"/>
  <c r="J7" i="14"/>
  <c r="S6" i="14"/>
  <c r="K8" i="18"/>
  <c r="S8" i="18" s="1"/>
  <c r="S7" i="18"/>
  <c r="K63" i="20"/>
  <c r="K7" i="21"/>
  <c r="S7" i="21" s="1"/>
  <c r="S6" i="21"/>
  <c r="J6" i="22"/>
  <c r="S5" i="22"/>
  <c r="AC41" i="22"/>
  <c r="K7" i="23"/>
  <c r="S7" i="23" s="1"/>
  <c r="S6" i="23"/>
  <c r="J6" i="24"/>
  <c r="S5" i="24"/>
  <c r="AC41" i="24"/>
  <c r="J6" i="30"/>
  <c r="S5" i="30"/>
  <c r="AG42" i="30"/>
  <c r="K7" i="31"/>
  <c r="S7" i="31" s="1"/>
  <c r="S6" i="31"/>
  <c r="K8" i="20"/>
  <c r="S8" i="20" s="1"/>
  <c r="J7" i="20"/>
  <c r="I6" i="20"/>
  <c r="K8" i="25"/>
  <c r="S8" i="25" s="1"/>
  <c r="J7" i="25"/>
  <c r="I6" i="25"/>
  <c r="J6" i="27"/>
  <c r="S5" i="27"/>
  <c r="I48" i="43"/>
  <c r="H48" i="43" s="1"/>
  <c r="U148" i="63"/>
  <c r="AA16" i="63"/>
  <c r="AA15" i="63"/>
  <c r="U14" i="63"/>
  <c r="AA12" i="63"/>
  <c r="E32" i="62"/>
  <c r="E30" i="62"/>
  <c r="E29" i="62"/>
  <c r="E6" i="62"/>
  <c r="E5" i="55"/>
  <c r="E5" i="54"/>
  <c r="D5" i="52"/>
  <c r="J52" i="51"/>
  <c r="J51" i="51"/>
  <c r="J45" i="51" s="1"/>
  <c r="E5" i="2" s="1"/>
  <c r="J50" i="51"/>
  <c r="J49" i="51"/>
  <c r="U15" i="63"/>
  <c r="AA13" i="63"/>
  <c r="AA11" i="63"/>
  <c r="E5" i="62"/>
  <c r="E3" i="62"/>
  <c r="E24" i="52"/>
  <c r="J47" i="51"/>
  <c r="J46" i="51"/>
  <c r="M273" i="48"/>
  <c r="M212" i="48"/>
  <c r="M150" i="48"/>
  <c r="F85" i="48"/>
  <c r="F23" i="48"/>
  <c r="E38" i="47"/>
  <c r="E32" i="47"/>
  <c r="E28" i="47"/>
  <c r="E24" i="47"/>
  <c r="E16" i="46"/>
  <c r="H46" i="51"/>
  <c r="H47" i="51"/>
  <c r="H48" i="51"/>
  <c r="G49" i="51"/>
  <c r="G50" i="51"/>
  <c r="G53" i="51"/>
  <c r="F2" i="54"/>
  <c r="F10" i="54"/>
  <c r="F2" i="55"/>
  <c r="D48" i="61"/>
  <c r="D50" i="61"/>
  <c r="E4" i="62"/>
  <c r="G46" i="51"/>
  <c r="G47" i="51"/>
  <c r="G48" i="51"/>
  <c r="H49" i="51"/>
  <c r="H50" i="51"/>
  <c r="D49" i="61"/>
  <c r="D4" i="4" l="1"/>
  <c r="B5" i="1"/>
  <c r="K7" i="30"/>
  <c r="S7" i="30" s="1"/>
  <c r="S6" i="30"/>
  <c r="K7" i="22"/>
  <c r="S7" i="22" s="1"/>
  <c r="S6" i="22"/>
  <c r="J48" i="13"/>
  <c r="S47" i="13"/>
  <c r="K8" i="15"/>
  <c r="S8" i="15" s="1"/>
  <c r="S7" i="15"/>
  <c r="K46" i="22"/>
  <c r="S46" i="22" s="1"/>
  <c r="S45" i="22"/>
  <c r="K47" i="30"/>
  <c r="S47" i="30" s="1"/>
  <c r="S46" i="30"/>
  <c r="K46" i="24"/>
  <c r="S46" i="24" s="1"/>
  <c r="S45" i="24"/>
  <c r="L9" i="19"/>
  <c r="U9" i="19" s="1"/>
  <c r="U8" i="19"/>
  <c r="K49" i="15"/>
  <c r="S49" i="15" s="1"/>
  <c r="S48" i="15"/>
  <c r="K49" i="18"/>
  <c r="S49" i="18" s="1"/>
  <c r="S48" i="18"/>
  <c r="U55" i="19"/>
  <c r="L56" i="19"/>
  <c r="U56" i="19" s="1"/>
  <c r="K49" i="12"/>
  <c r="S49" i="12" s="1"/>
  <c r="S48" i="12"/>
  <c r="K49" i="11"/>
  <c r="S49" i="11" s="1"/>
  <c r="S48" i="11"/>
  <c r="I58" i="43"/>
  <c r="H58" i="43" s="1"/>
  <c r="K7" i="27"/>
  <c r="S7" i="27" s="1"/>
  <c r="S6" i="27"/>
  <c r="K7" i="24"/>
  <c r="S7" i="24" s="1"/>
  <c r="S6" i="24"/>
  <c r="K8" i="14"/>
  <c r="S8" i="14" s="1"/>
  <c r="S7" i="14"/>
  <c r="J48" i="14"/>
  <c r="S47" i="14"/>
  <c r="K7" i="28"/>
  <c r="S7" i="28" s="1"/>
  <c r="S6" i="28"/>
  <c r="J48" i="16"/>
  <c r="I47" i="16"/>
  <c r="S7" i="13"/>
  <c r="K8" i="13"/>
  <c r="S8" i="13" s="1"/>
  <c r="K46" i="28"/>
  <c r="S46" i="28" s="1"/>
  <c r="S45" i="28"/>
  <c r="K49" i="17"/>
  <c r="S49" i="17" s="1"/>
  <c r="S48" i="17"/>
  <c r="H25" i="64"/>
  <c r="L25" i="64" s="1"/>
  <c r="L24" i="64"/>
  <c r="D43" i="7"/>
  <c r="D44" i="7" s="1"/>
  <c r="D45" i="7" s="1"/>
  <c r="D40" i="7"/>
  <c r="D41" i="7"/>
  <c r="K46" i="27"/>
  <c r="S46" i="27" s="1"/>
  <c r="S45" i="27"/>
  <c r="K47" i="31"/>
  <c r="S47" i="31" s="1"/>
  <c r="S46" i="31"/>
  <c r="K46" i="23"/>
  <c r="S46" i="23" s="1"/>
  <c r="S45" i="23"/>
  <c r="K46" i="21"/>
  <c r="S46" i="21" s="1"/>
  <c r="S45" i="21"/>
  <c r="D51" i="7" l="1"/>
  <c r="D48" i="7"/>
  <c r="D49" i="7"/>
  <c r="D47" i="7"/>
  <c r="D46" i="7"/>
  <c r="K49" i="16"/>
  <c r="S49" i="16" s="1"/>
  <c r="S48" i="16"/>
  <c r="K49" i="14"/>
  <c r="S49" i="14" s="1"/>
  <c r="S48" i="14"/>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<sst xmlns="http://schemas.openxmlformats.org/spreadsheetml/2006/main" count="17485" uniqueCount="4310">
  <si>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</si>
  <si>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</si>
  <si>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</si>
  <si>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</si>
  <si>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</si>
  <si>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</si>
  <si>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</si>
  <si>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</si>
  <si>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</si>
  <si>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</si>
  <si>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</si>
  <si>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</si>
  <si>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</si>
  <si>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27728703</t>
  </si>
  <si>
    <t>Flag_Row_Size</t>
  </si>
  <si>
    <t>Субъект РФ</t>
  </si>
  <si>
    <t>Пензенская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</si>
  <si>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</si>
  <si>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</si>
  <si>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</si>
  <si>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</si>
  <si>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</si>
  <si>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</si>
  <si>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</si>
  <si>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</si>
  <si>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</si>
  <si>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</si>
  <si>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</si>
  <si>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</si>
  <si>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</si>
  <si>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</si>
  <si>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</si>
  <si>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</si>
  <si>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</si>
  <si>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</si>
  <si>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</si>
  <si>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</si>
  <si>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</si>
  <si>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</si>
  <si>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</si>
  <si>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</si>
  <si>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466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</si>
  <si>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</si>
  <si>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</si>
  <si>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</si>
  <si>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</si>
  <si>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ПКФ "Энергетик-2001"</t>
  </si>
  <si>
    <t>Наименование (описание) обособленного подразделения</t>
  </si>
  <si>
    <t>ИНН</t>
  </si>
  <si>
    <t>5835037909</t>
  </si>
  <si>
    <t>КПП</t>
  </si>
  <si>
    <t>583501001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</si>
  <si>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</si>
  <si>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</si>
  <si>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</si>
  <si>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</si>
  <si>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</si>
  <si>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</si>
  <si>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</si>
  <si>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</si>
  <si>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</si>
  <si>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</si>
  <si>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</si>
  <si>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</si>
  <si>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</si>
  <si>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</si>
  <si>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</si>
  <si>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</si>
  <si>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</si>
  <si>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</si>
  <si>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440514, Пензенская область, Пензенский район, с. Засечное, ул. Лунная, д. 2</t>
  </si>
  <si>
    <t>Фамилия, имя, отчество руководителя</t>
  </si>
  <si>
    <t>Лагуткин Максим Николаевич</t>
  </si>
  <si>
    <t>Ответственный за заполнение формы</t>
  </si>
  <si>
    <t>Фамилия, имя, отчество</t>
  </si>
  <si>
    <t>Трушина Наталья Александровна</t>
  </si>
  <si>
    <t>Должность</t>
  </si>
  <si>
    <t>экономист</t>
  </si>
  <si>
    <t>Контактный телефон</t>
  </si>
  <si>
    <t>8(8412)23-54-66</t>
  </si>
  <si>
    <t>E-mail</t>
  </si>
  <si>
    <t>rso@energetik-2001.ru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</si>
  <si>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</si>
  <si>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</si>
  <si>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</si>
  <si>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</si>
  <si>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</si>
  <si>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</si>
  <si>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</si>
  <si>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</si>
  <si>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</si>
  <si>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</si>
  <si>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</si>
  <si>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</si>
  <si>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</si>
  <si>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</si>
  <si>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</si>
  <si>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</si>
  <si>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</si>
  <si>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248</t>
  </si>
  <si>
    <t>Пензенский муниципальный район</t>
  </si>
  <si>
    <t>Засечное</t>
  </si>
  <si>
    <t>56655429</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</si>
  <si>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</si>
  <si>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</si>
  <si>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</si>
  <si>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</si>
  <si>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</si>
  <si>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</si>
  <si>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</si>
  <si>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</si>
  <si>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</si>
  <si>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</si>
  <si>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</si>
  <si>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</si>
  <si>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</si>
  <si>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</si>
  <si>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</si>
  <si>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</si>
  <si>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</si>
  <si>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</si>
  <si>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</si>
  <si>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</si>
  <si>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</si>
  <si>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</si>
  <si>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</si>
  <si>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</si>
  <si>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</si>
  <si>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</si>
  <si>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</si>
  <si>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</si>
  <si>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</si>
  <si>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</si>
  <si>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</si>
  <si>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</si>
  <si>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</si>
  <si>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</si>
  <si>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</si>
  <si>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</si>
  <si>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</si>
  <si>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</si>
  <si>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</si>
  <si>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</si>
  <si>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</si>
  <si>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</si>
  <si>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</si>
  <si>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</si>
  <si>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</si>
  <si>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</si>
  <si>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</si>
  <si>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</si>
  <si>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</si>
  <si>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</si>
  <si>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</si>
  <si>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</si>
  <si>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</si>
  <si>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</si>
  <si>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</si>
  <si>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</si>
  <si>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</si>
  <si>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</si>
  <si>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</si>
  <si>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для потребителей на территории Засечного сельсовета Пензенского района Пензенской области</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</si>
  <si>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</si>
  <si>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</si>
  <si>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</si>
  <si>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</si>
  <si>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</si>
  <si>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</si>
  <si>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</si>
  <si>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</si>
  <si>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</si>
  <si>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</si>
  <si>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</si>
  <si>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</si>
  <si>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</si>
  <si>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</si>
  <si>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</si>
  <si>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</si>
  <si>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</si>
  <si>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</si>
  <si>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</si>
  <si>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</si>
  <si>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</si>
  <si>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</si>
  <si>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</si>
  <si>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</si>
  <si>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</si>
  <si>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</si>
  <si>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</si>
  <si>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</si>
  <si>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</si>
  <si>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</si>
  <si>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</si>
  <si>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</si>
  <si>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</si>
  <si>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</si>
  <si>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</si>
  <si>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</si>
  <si>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</si>
  <si>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</si>
  <si>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</si>
  <si>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</si>
  <si>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</si>
  <si>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плата за подключение объектов заявителей   к системе теплоснабжения ООО ПКФ "Энергетик-2001" на территории Засечного с/с Пензенского р-на Пензенской области</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</si>
  <si>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</si>
  <si>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</si>
  <si>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</si>
  <si>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</si>
  <si>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</si>
  <si>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</si>
  <si>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</si>
  <si>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</si>
  <si>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</si>
  <si>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</si>
  <si>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</si>
  <si>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</si>
  <si>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</si>
  <si>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</si>
  <si>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</si>
  <si>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</si>
  <si>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</si>
  <si>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</si>
  <si>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</si>
  <si>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</si>
  <si>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</si>
  <si>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</si>
  <si>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</si>
  <si>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</si>
  <si>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</si>
  <si>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</si>
  <si>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</si>
  <si>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</si>
  <si>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</si>
  <si>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</si>
  <si>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</si>
  <si>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</si>
  <si>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</si>
  <si>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</si>
  <si>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</si>
  <si>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</si>
  <si>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</si>
  <si>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</si>
  <si>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</si>
  <si>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</si>
  <si>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</si>
  <si>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</si>
  <si>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</si>
  <si>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</si>
  <si>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</si>
  <si>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</si>
  <si>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</si>
  <si>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</si>
  <si>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</si>
  <si>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</si>
  <si>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</si>
  <si>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</si>
  <si>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</si>
  <si>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</si>
  <si>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</si>
  <si>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</si>
  <si>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</si>
  <si>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</si>
  <si>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</si>
  <si>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</si>
  <si>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</si>
  <si>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</si>
  <si>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</si>
  <si>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</si>
  <si>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</si>
  <si>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</si>
  <si>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</si>
  <si>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</si>
  <si>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</si>
  <si>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</si>
  <si>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</si>
  <si>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</si>
  <si>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</si>
  <si>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</si>
  <si>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</si>
  <si>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</si>
  <si>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</si>
  <si>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</si>
  <si>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</si>
  <si>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</si>
  <si>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</si>
  <si>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</si>
  <si>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</si>
  <si>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</si>
  <si>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</si>
  <si>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</si>
  <si>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</si>
  <si>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</si>
  <si>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</si>
  <si>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</si>
  <si>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</si>
  <si>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</si>
  <si>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</si>
  <si>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</si>
  <si>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</si>
  <si>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</si>
  <si>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</si>
  <si>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</si>
  <si>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</si>
  <si>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</si>
  <si>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</si>
  <si>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</si>
  <si>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</si>
  <si>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</si>
  <si>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</si>
  <si>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</si>
  <si>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</si>
  <si>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</si>
  <si>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</si>
  <si>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</si>
  <si>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</si>
  <si>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</si>
  <si>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</si>
  <si>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</si>
  <si>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</si>
  <si>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</si>
  <si>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</si>
  <si>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</si>
  <si>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</si>
  <si>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</si>
  <si>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</si>
  <si>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</si>
  <si>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</si>
  <si>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</si>
  <si>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</si>
  <si>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</si>
  <si>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</si>
  <si>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</si>
  <si>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</si>
  <si>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</si>
  <si>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</si>
  <si>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</si>
  <si>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</si>
  <si>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</si>
  <si>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</si>
  <si>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</si>
  <si>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</si>
  <si>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</si>
  <si>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</si>
  <si>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</si>
  <si>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</si>
  <si>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</si>
  <si>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</si>
  <si>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</si>
  <si>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</si>
  <si>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</si>
  <si>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</si>
  <si>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</si>
  <si>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</si>
  <si>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</si>
  <si>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</si>
  <si>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</si>
  <si>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</si>
  <si>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</si>
  <si>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</si>
  <si>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</si>
  <si>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</si>
  <si>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</si>
  <si>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</si>
  <si>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</si>
  <si>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</si>
  <si>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</si>
  <si>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</si>
  <si>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</si>
  <si>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</si>
  <si>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</si>
  <si>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</si>
  <si>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</si>
  <si>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</si>
  <si>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</si>
  <si>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</si>
  <si>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</si>
  <si>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</si>
  <si>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</si>
  <si>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</si>
  <si>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</si>
  <si>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</si>
  <si>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</si>
  <si>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</si>
  <si>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</si>
  <si>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</si>
  <si>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</si>
  <si>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</si>
  <si>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</si>
  <si>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</si>
  <si>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</si>
  <si>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</si>
  <si>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</si>
  <si>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</si>
  <si>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</si>
  <si>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</si>
  <si>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</si>
  <si>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</si>
  <si>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</si>
  <si>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</si>
  <si>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</si>
  <si>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</si>
  <si>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</si>
  <si>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</si>
  <si>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</si>
  <si>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</si>
  <si>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</si>
  <si>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</si>
  <si>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</si>
  <si>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</si>
  <si>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</si>
  <si>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</si>
  <si>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</si>
  <si>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</si>
  <si>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</si>
  <si>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</si>
  <si>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</si>
  <si>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</si>
  <si>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</si>
  <si>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</si>
  <si>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</si>
  <si>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</si>
  <si>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</si>
  <si>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</si>
  <si>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</si>
  <si>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</si>
  <si>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</si>
  <si>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</si>
  <si>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</si>
  <si>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</si>
  <si>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</si>
  <si>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</si>
  <si>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</si>
  <si>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</si>
  <si>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</si>
  <si>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</si>
  <si>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</si>
  <si>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</si>
  <si>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</si>
  <si>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</si>
  <si>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</si>
  <si>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</si>
  <si>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</si>
  <si>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</si>
  <si>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</si>
  <si>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</si>
  <si>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</si>
  <si>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</si>
  <si>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</si>
  <si>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</si>
  <si>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</si>
  <si>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</si>
  <si>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</si>
  <si>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</si>
  <si>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</si>
  <si>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</si>
  <si>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</si>
  <si>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</si>
  <si>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</si>
  <si>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</si>
  <si>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</si>
  <si>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</si>
  <si>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</si>
  <si>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</si>
  <si>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</si>
  <si>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</si>
  <si>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</si>
  <si>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</si>
  <si>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</si>
  <si>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</si>
  <si>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</si>
  <si>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</si>
  <si>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</si>
  <si>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</si>
  <si>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</si>
  <si>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</si>
  <si>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</si>
  <si>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</si>
  <si>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</si>
  <si>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</si>
  <si>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</si>
  <si>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</si>
  <si>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</si>
  <si>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тыс.руб./Гкал/ч</t>
  </si>
  <si>
    <t>с НДС</t>
  </si>
  <si>
    <t>без НДС</t>
  </si>
  <si>
    <t>П1</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</si>
  <si>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</si>
  <si>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П2.1</t>
  </si>
  <si>
    <t>надземная (наземная)</t>
  </si>
  <si>
    <t>50 - 250 мм</t>
  </si>
  <si>
    <t>П2.2</t>
  </si>
  <si>
    <t>подземная (канальная)</t>
  </si>
  <si>
    <t>251 - 400 мм</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</si>
  <si>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</si>
  <si>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</si>
  <si>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</si>
  <si>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</si>
  <si>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</si>
  <si>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</si>
  <si>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</si>
  <si>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</si>
  <si>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</si>
  <si>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</si>
  <si>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</si>
  <si>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</si>
  <si>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</si>
  <si>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</si>
  <si>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</si>
  <si>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</si>
  <si>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</si>
  <si>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</si>
  <si>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</si>
  <si>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</si>
  <si>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</si>
  <si>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</si>
  <si>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</si>
  <si>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</si>
  <si>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</si>
  <si>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</si>
  <si>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</si>
  <si>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</si>
  <si>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</si>
  <si>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</si>
  <si>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</si>
  <si>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</si>
  <si>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</si>
  <si>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</si>
  <si>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</si>
  <si>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</si>
  <si>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</si>
  <si>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</si>
  <si>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</si>
  <si>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</si>
  <si>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</si>
  <si>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</si>
  <si>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</si>
  <si>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</si>
  <si>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</si>
  <si>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</si>
  <si>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</si>
  <si>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</si>
  <si>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</si>
  <si>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</si>
  <si>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</si>
  <si>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</si>
  <si>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</si>
  <si>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</si>
  <si>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</si>
  <si>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</si>
  <si>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</si>
  <si>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</si>
  <si>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</si>
  <si>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</si>
  <si>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</si>
  <si>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</si>
  <si>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</si>
  <si>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</si>
  <si>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</si>
  <si>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</si>
  <si>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</si>
  <si>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</si>
  <si>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</si>
  <si>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</si>
  <si>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</si>
  <si>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</si>
  <si>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</si>
  <si>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</si>
  <si>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</si>
  <si>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</si>
  <si>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</si>
  <si>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</si>
  <si>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</si>
  <si>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</si>
  <si>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</si>
  <si>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</si>
  <si>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</si>
  <si>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</si>
  <si>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</si>
  <si>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</si>
  <si>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</si>
  <si>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</si>
  <si>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</si>
  <si>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</si>
  <si>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</si>
  <si>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</si>
  <si>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</si>
  <si>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</si>
  <si>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</si>
  <si>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</si>
  <si>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</si>
  <si>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</si>
  <si>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</si>
  <si>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</si>
  <si>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</si>
  <si>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</si>
  <si>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</si>
  <si>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</si>
  <si>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</si>
  <si>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</si>
  <si>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</si>
  <si>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</si>
  <si>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</si>
  <si>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</si>
  <si>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</si>
  <si>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</si>
  <si>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</si>
  <si>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</si>
  <si>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</si>
  <si>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</si>
  <si>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</si>
  <si>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</si>
  <si>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</si>
  <si>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</si>
  <si>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</si>
  <si>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</si>
  <si>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</si>
  <si>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</si>
  <si>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</si>
  <si>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</si>
  <si>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</si>
  <si>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</si>
  <si>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</si>
  <si>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</si>
  <si>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</si>
  <si>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</si>
  <si>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</si>
  <si>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</si>
  <si>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</si>
  <si>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</si>
  <si>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</si>
  <si>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</si>
  <si>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</si>
  <si>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</si>
  <si>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</si>
  <si>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</si>
  <si>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</si>
  <si>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</si>
  <si>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</si>
  <si>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</si>
  <si>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</si>
  <si>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</si>
  <si>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</si>
  <si>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</si>
  <si>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</si>
  <si>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</si>
  <si>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</si>
  <si>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</si>
  <si>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</si>
  <si>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</si>
  <si>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</si>
  <si>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</si>
  <si>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</si>
  <si>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</si>
  <si>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</si>
  <si>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</si>
  <si>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</si>
  <si>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</si>
  <si>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</si>
  <si>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</si>
  <si>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</si>
  <si>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</si>
  <si>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</si>
  <si>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</si>
  <si>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</si>
  <si>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</si>
  <si>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</si>
  <si>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</si>
  <si>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</si>
  <si>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</si>
  <si>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</si>
  <si>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</si>
  <si>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</si>
  <si>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</si>
  <si>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</si>
  <si>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</si>
  <si>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</si>
  <si>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</si>
  <si>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</si>
  <si>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</si>
  <si>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</si>
  <si>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</si>
  <si>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</si>
  <si>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</si>
  <si>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</si>
  <si>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</si>
  <si>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</si>
  <si>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</si>
  <si>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</si>
  <si>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</si>
  <si>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</si>
  <si>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</si>
  <si>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</si>
  <si>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</si>
  <si>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</si>
  <si>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</si>
  <si>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</si>
  <si>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</si>
  <si>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</si>
  <si>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</si>
  <si>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</si>
  <si>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</si>
  <si>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</si>
  <si>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</si>
  <si>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</si>
  <si>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</si>
  <si>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</si>
  <si>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</si>
  <si>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</si>
  <si>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</si>
  <si>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</si>
  <si>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</si>
  <si>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</si>
  <si>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</si>
  <si>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</si>
  <si>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</si>
  <si>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</si>
  <si>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</si>
  <si>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</si>
  <si>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</si>
  <si>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</si>
  <si>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</si>
  <si>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</si>
  <si>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</si>
  <si>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</si>
  <si>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</si>
  <si>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</si>
  <si>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</si>
  <si>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</si>
  <si>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</si>
  <si>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</si>
  <si>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</si>
  <si>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</si>
  <si>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</si>
  <si>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</si>
  <si>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</si>
  <si>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</si>
  <si>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</si>
  <si>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</si>
  <si>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</si>
  <si>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</si>
  <si>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</si>
  <si>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</si>
  <si>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</si>
  <si>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</si>
  <si>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</si>
  <si>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</si>
  <si>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</si>
  <si>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</si>
  <si>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</si>
  <si>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</si>
  <si>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</si>
  <si>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</si>
  <si>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</si>
  <si>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</si>
  <si>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</si>
  <si>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</si>
  <si>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</si>
  <si>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</si>
  <si>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</si>
  <si>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</si>
  <si>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</si>
  <si>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</si>
  <si>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</si>
  <si>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</si>
  <si>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</si>
  <si>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</si>
  <si>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</si>
  <si>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</si>
  <si>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</si>
  <si>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</si>
  <si>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</si>
  <si>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</si>
  <si>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</si>
  <si>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</si>
  <si>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</si>
  <si>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</si>
  <si>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</si>
  <si>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</si>
  <si>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</si>
  <si>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</si>
  <si>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</si>
  <si>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</si>
  <si>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</si>
  <si>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</si>
  <si>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</si>
  <si>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</si>
  <si>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</si>
  <si>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</si>
  <si>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</si>
  <si>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</si>
  <si>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</si>
  <si>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</si>
  <si>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</si>
  <si>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</si>
  <si>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</si>
  <si>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</si>
  <si>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</si>
  <si>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</si>
  <si>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</si>
  <si>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</si>
  <si>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</si>
  <si>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</si>
  <si>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</si>
  <si>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</si>
  <si>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</si>
  <si>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</si>
  <si>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</si>
  <si>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</si>
  <si>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</si>
  <si>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</si>
  <si>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</si>
  <si>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</si>
  <si>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</si>
  <si>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</si>
  <si>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</si>
  <si>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</si>
  <si>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</si>
  <si>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</si>
  <si>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</si>
  <si>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</si>
  <si>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</si>
  <si>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</si>
  <si>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</si>
  <si>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</si>
  <si>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</si>
  <si>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</si>
  <si>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</si>
  <si>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</si>
  <si>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</si>
  <si>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</si>
  <si>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</si>
  <si>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</si>
  <si>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</si>
  <si>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</si>
  <si>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</si>
  <si>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</si>
  <si>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</si>
  <si>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</si>
  <si>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</si>
  <si>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</si>
  <si>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</si>
  <si>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</si>
  <si>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</si>
  <si>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</si>
  <si>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</si>
  <si>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</si>
  <si>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</si>
  <si>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</si>
  <si>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</si>
  <si>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</si>
  <si>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</si>
  <si>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</si>
  <si>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</si>
  <si>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</si>
  <si>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</si>
  <si>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</si>
  <si>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</si>
  <si>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</si>
  <si>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</si>
  <si>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</si>
  <si>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</si>
  <si>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</si>
  <si>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</si>
  <si>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</si>
  <si>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</si>
  <si>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</si>
  <si>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</si>
  <si>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</si>
  <si>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</si>
  <si>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</si>
  <si>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</si>
  <si>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</si>
  <si>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</si>
  <si>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</si>
  <si>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</si>
  <si>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</si>
  <si>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</si>
  <si>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</si>
  <si>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</si>
  <si>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</si>
  <si>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</si>
  <si>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</si>
  <si>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</si>
  <si>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</si>
  <si>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</si>
  <si>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</si>
  <si>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</si>
  <si>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</si>
  <si>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</si>
  <si>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</si>
  <si>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</si>
  <si>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</si>
  <si>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</si>
  <si>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</si>
  <si>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</si>
  <si>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</si>
  <si>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</si>
  <si>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</si>
  <si>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</si>
  <si>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</si>
  <si>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</si>
  <si>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</si>
  <si>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</si>
  <si>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</si>
  <si>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</si>
  <si>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</si>
  <si>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</si>
  <si>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</si>
  <si>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</si>
  <si>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</si>
  <si>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</si>
  <si>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</si>
  <si>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</si>
  <si>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</si>
  <si>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</si>
  <si>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</si>
  <si>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</si>
  <si>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</si>
  <si>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</si>
  <si>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</si>
  <si>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</si>
  <si>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</si>
  <si>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</si>
  <si>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</si>
  <si>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</si>
  <si>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</si>
  <si>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</si>
  <si>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</si>
  <si>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</si>
  <si>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</si>
  <si>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</si>
  <si>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</si>
  <si>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</si>
  <si>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</si>
  <si>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</si>
  <si>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</si>
  <si>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</si>
  <si>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</si>
  <si>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</si>
  <si>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</si>
  <si>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</si>
  <si>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</si>
  <si>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</si>
  <si>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</si>
  <si>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</si>
  <si>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</si>
  <si>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</si>
  <si>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</si>
  <si>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</si>
  <si>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</si>
  <si>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</si>
  <si>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</si>
  <si>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</si>
  <si>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</si>
  <si>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</si>
  <si>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</si>
  <si>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</si>
  <si>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</si>
  <si>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</si>
  <si>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</si>
  <si>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</si>
  <si>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</si>
  <si>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</si>
  <si>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</si>
  <si>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</si>
  <si>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</si>
  <si>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</si>
  <si>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</si>
  <si>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</si>
  <si>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</si>
  <si>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</si>
  <si>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</si>
  <si>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</si>
  <si>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</si>
  <si>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</si>
  <si>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</si>
  <si>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</si>
  <si>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</si>
  <si>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</si>
  <si>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</si>
  <si>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</si>
  <si>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</si>
  <si>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</si>
  <si>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</si>
  <si>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</si>
  <si>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</si>
  <si>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</si>
  <si>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</si>
  <si>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</si>
  <si>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</si>
  <si>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</si>
  <si>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</si>
  <si>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</si>
  <si>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</si>
  <si>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</si>
  <si>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</si>
  <si>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</si>
  <si>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</si>
  <si>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</si>
  <si>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</si>
  <si>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</si>
  <si>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</si>
  <si>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</si>
  <si>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</si>
  <si>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</si>
  <si>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</si>
  <si>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</si>
  <si>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</si>
  <si>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</si>
  <si>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</si>
  <si>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</si>
  <si>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</si>
  <si>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</si>
  <si>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</si>
  <si>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</si>
  <si>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</si>
  <si>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</si>
  <si>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</si>
  <si>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</si>
  <si>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</si>
  <si>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</si>
  <si>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</si>
  <si>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</si>
  <si>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</si>
  <si>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</si>
  <si>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</si>
  <si>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</si>
  <si>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</si>
  <si>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</si>
  <si>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</si>
  <si>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</si>
  <si>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</si>
  <si>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</si>
  <si>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</si>
  <si>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</si>
  <si>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</si>
  <si>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</si>
  <si>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</si>
  <si>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</si>
  <si>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</si>
  <si>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</si>
  <si>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</si>
  <si>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</si>
  <si>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</si>
  <si>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</si>
  <si>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</si>
  <si>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</si>
  <si>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</si>
  <si>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</si>
  <si>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</si>
  <si>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</si>
  <si>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</si>
  <si>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</si>
  <si>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</si>
  <si>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</si>
  <si>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</si>
  <si>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</si>
  <si>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</si>
  <si>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</si>
  <si>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</si>
  <si>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</si>
  <si>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</si>
  <si>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</si>
  <si>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</si>
  <si>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</si>
  <si>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</si>
  <si>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</si>
  <si>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</si>
  <si>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</si>
  <si>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</si>
  <si>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</si>
  <si>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</si>
  <si>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</si>
  <si>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</si>
  <si>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</si>
  <si>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</si>
  <si>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</si>
  <si>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</si>
  <si>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</si>
  <si>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</si>
  <si>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</si>
  <si>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</si>
  <si>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</si>
  <si>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</si>
  <si>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</si>
  <si>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</si>
  <si>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</si>
  <si>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</si>
  <si>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</si>
  <si>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</si>
  <si>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</si>
  <si>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</si>
  <si>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</si>
  <si>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</si>
  <si>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</si>
  <si>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</si>
  <si>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</si>
  <si>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</si>
  <si>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</si>
  <si>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</si>
  <si>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</si>
  <si>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</si>
  <si>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</si>
  <si>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</si>
  <si>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</si>
  <si>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</si>
  <si>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</si>
  <si>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</si>
  <si>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</si>
  <si>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</si>
  <si>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</si>
  <si>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</si>
  <si>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</si>
  <si>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</si>
  <si>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</si>
  <si>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</si>
  <si>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</si>
  <si>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</si>
  <si>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</si>
  <si>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</si>
  <si>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</si>
  <si>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</si>
  <si>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</si>
  <si>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</si>
  <si>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</si>
  <si>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</si>
  <si>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</si>
  <si>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</si>
  <si>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</si>
  <si>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</si>
  <si>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</si>
  <si>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</si>
  <si>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</si>
  <si>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</si>
  <si>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</si>
  <si>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</si>
  <si>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</si>
  <si>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</si>
  <si>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</si>
  <si>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</si>
  <si>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</si>
  <si>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</si>
  <si>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</si>
  <si>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</si>
  <si>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</si>
  <si>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</si>
  <si>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</si>
  <si>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</si>
  <si>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</si>
  <si>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</si>
  <si>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</si>
  <si>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</si>
  <si>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</si>
  <si>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</si>
  <si>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</si>
  <si>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</si>
  <si>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</si>
  <si>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</si>
  <si>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</si>
  <si>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</si>
  <si>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</si>
  <si>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</si>
  <si>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</si>
  <si>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метод экономически обоснованных расходов (затрат)</t>
  </si>
  <si>
    <t>https://portal.eias.ru/Portal/DownloadPage.aspx?type=12&amp;guid=a8968f4b-fd82-424d-a360-d1bdd2a520df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</si>
  <si>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</si>
  <si>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</si>
  <si>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</si>
  <si>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ООО ПКФ "Энергетик-2001"</t>
  </si>
  <si>
    <t>http://energetik-2001.ru/polozhenie-o-zakupkah</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</si>
  <si>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</si>
  <si>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ООО ПКФ "Энергетик-2001"</t>
  </si>
  <si>
    <t>План закупок</t>
  </si>
  <si>
    <t>https://zakupki.gov.ru/epz/orderplan/purchase-plan/card/position-info.html?guid=b64c698b-a2eb-41c8-9115-5b1baf7c84d7</t>
  </si>
  <si>
    <t>Итоговые протоколы, договоры</t>
  </si>
  <si>
    <t>https://zakupki.gov.ru/epz/order/extendedsearch/results.html?searchString=5835037909&amp;morphology=on&amp;search-filter=Дате+размещения&amp;pageNumber=1&amp;sortDirection=false&amp;recordsPerPage=_10&amp;showLotsInfoHidden=false&amp;sortBy=UPDATE_DATE&amp;fz44=on&amp;fz223=on&amp;af=on&amp;ca=on&amp;pc=on&amp;pa=on&amp;currencyIdGeneral=-1</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</si>
  <si>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</si>
  <si>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</si>
  <si>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</si>
  <si>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</si>
  <si>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</si>
  <si>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</si>
  <si>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</si>
  <si>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</si>
  <si>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</si>
  <si>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</si>
  <si>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</si>
  <si>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</si>
  <si>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</si>
  <si>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</si>
  <si>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</si>
  <si>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</si>
  <si>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</si>
  <si>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</si>
  <si>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</si>
  <si>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</si>
  <si>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</si>
  <si>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</si>
  <si>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</si>
  <si>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</si>
  <si>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</si>
  <si>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</si>
  <si>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</si>
  <si>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</si>
  <si>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</si>
  <si>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</si>
  <si>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</si>
  <si>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</si>
  <si>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</si>
  <si>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</si>
  <si>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</si>
  <si>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</si>
  <si>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</si>
  <si>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</si>
  <si>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</si>
  <si>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</si>
  <si>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</si>
  <si>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</si>
  <si>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</si>
  <si>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</si>
  <si>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</si>
  <si>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</si>
  <si>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</si>
  <si>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</si>
  <si>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</si>
  <si>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</si>
  <si>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</si>
  <si>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</si>
  <si>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</si>
  <si>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</si>
  <si>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</si>
  <si>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</si>
  <si>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Передача+Сбыт</t>
  </si>
  <si>
    <t>организации-перепродавцы</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</si>
  <si>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</si>
  <si>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</si>
  <si>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</si>
  <si>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</si>
  <si>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</si>
  <si>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</si>
  <si>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</si>
  <si>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</si>
  <si>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</si>
  <si>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</si>
  <si>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</si>
  <si>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</si>
  <si>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</si>
  <si>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</si>
  <si>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</si>
  <si>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</si>
  <si>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</si>
  <si>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</si>
  <si>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</si>
  <si>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</si>
  <si>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</si>
  <si>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</si>
  <si>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</si>
  <si>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</si>
  <si>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</si>
  <si>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</si>
  <si>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</si>
  <si>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</si>
  <si>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</si>
  <si>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</si>
  <si>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</si>
  <si>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</si>
  <si>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</si>
  <si>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</si>
  <si>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</si>
  <si>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</si>
  <si>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</si>
  <si>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</si>
  <si>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</si>
  <si>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</si>
  <si>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</si>
  <si>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</si>
  <si>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</si>
  <si>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</si>
  <si>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</si>
  <si>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</si>
  <si>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</si>
  <si>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</si>
  <si>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</si>
  <si>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</si>
  <si>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</si>
  <si>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</si>
  <si>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</si>
  <si>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</si>
  <si>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</si>
  <si>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</si>
  <si>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</si>
  <si>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</si>
  <si>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</si>
  <si>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</si>
  <si>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</si>
  <si>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</si>
  <si>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</si>
  <si>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</si>
  <si>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</si>
  <si>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</si>
  <si>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</si>
  <si>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</si>
  <si>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</si>
  <si>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</si>
  <si>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</si>
  <si>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</si>
  <si>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</si>
  <si>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</si>
  <si>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</si>
  <si>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</si>
  <si>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</si>
  <si>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</si>
  <si>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</si>
  <si>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</si>
  <si>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</si>
  <si>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</si>
  <si>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</si>
  <si>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</si>
  <si>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</si>
  <si>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</si>
  <si>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</si>
  <si>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</si>
  <si>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</si>
  <si>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</si>
  <si>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</si>
  <si>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</si>
  <si>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</si>
  <si>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</si>
  <si>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</si>
  <si>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</si>
  <si>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</si>
  <si>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</si>
  <si>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</si>
  <si>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</si>
  <si>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</si>
  <si>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</si>
  <si>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</si>
  <si>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</si>
  <si>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</si>
  <si>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</si>
  <si>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</si>
  <si>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</si>
  <si>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</si>
  <si>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</si>
  <si>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</si>
  <si>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</si>
  <si>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</si>
  <si>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</si>
  <si>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</si>
  <si>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</si>
  <si>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</si>
  <si>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</si>
  <si>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</si>
  <si>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</si>
  <si>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</si>
  <si>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</si>
  <si>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</si>
  <si>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</si>
  <si>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</si>
  <si>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</si>
  <si>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</si>
  <si>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</si>
  <si>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</si>
  <si>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</si>
  <si>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</si>
  <si>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</si>
  <si>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</si>
  <si>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</si>
  <si>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</si>
  <si>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</si>
  <si>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</si>
  <si>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</si>
  <si>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</si>
  <si>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</si>
  <si>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</si>
  <si>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</si>
  <si>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</si>
  <si>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</si>
  <si>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</si>
  <si>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</si>
  <si>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</si>
  <si>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</si>
  <si>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</si>
  <si>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</si>
  <si>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</si>
  <si>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</si>
  <si>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</si>
  <si>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</si>
  <si>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</si>
  <si>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</si>
  <si>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</si>
  <si>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</si>
  <si>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</si>
  <si>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</si>
  <si>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</si>
  <si>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</si>
  <si>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</si>
  <si>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</si>
  <si>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</si>
  <si>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</si>
  <si>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</si>
  <si>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</si>
  <si>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</si>
  <si>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</si>
  <si>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</si>
  <si>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</si>
  <si>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</si>
  <si>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</si>
  <si>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</si>
  <si>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</si>
  <si>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</si>
  <si>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</si>
  <si>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</si>
  <si>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</si>
  <si>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</si>
  <si>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</si>
  <si>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</si>
  <si>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</si>
  <si>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</si>
  <si>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</si>
  <si>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</si>
  <si>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</si>
  <si>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</si>
  <si>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</si>
  <si>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</si>
  <si>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</si>
  <si>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</si>
  <si>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</si>
  <si>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</si>
  <si>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</si>
  <si>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</si>
  <si>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</si>
  <si>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</si>
  <si>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</si>
  <si>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</si>
  <si>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</si>
  <si>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</si>
  <si>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</si>
  <si>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</si>
  <si>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</si>
  <si>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</si>
  <si>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</si>
  <si>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</si>
  <si>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</si>
  <si>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</si>
  <si>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</si>
  <si>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</si>
  <si>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</si>
  <si>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</si>
  <si>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</si>
  <si>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</si>
  <si>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</si>
  <si>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</si>
  <si>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</si>
  <si>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</si>
  <si>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</si>
  <si>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</si>
  <si>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</si>
  <si>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</si>
  <si>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</si>
  <si>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</si>
  <si>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</si>
  <si>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</si>
  <si>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</si>
  <si>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</si>
  <si>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</si>
  <si>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</si>
  <si>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</si>
  <si>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</si>
  <si>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</si>
  <si>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</si>
  <si>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</si>
  <si>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</si>
  <si>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</si>
  <si>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</si>
  <si>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</si>
  <si>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</si>
  <si>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</si>
  <si>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</si>
  <si>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</si>
  <si>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</si>
  <si>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</si>
  <si>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</si>
  <si>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</si>
  <si>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</si>
  <si>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</si>
  <si>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</si>
  <si>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</si>
  <si>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</si>
  <si>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</si>
  <si>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</si>
  <si>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</si>
  <si>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</si>
  <si>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</si>
  <si>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</si>
  <si>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</si>
  <si>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</si>
  <si>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</si>
  <si>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</si>
  <si>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</si>
  <si>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</si>
  <si>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</si>
  <si>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</si>
  <si>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</si>
  <si>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</si>
  <si>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</si>
  <si>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</si>
  <si>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</si>
  <si>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</si>
  <si>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</si>
  <si>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</si>
  <si>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</si>
  <si>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</si>
  <si>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</si>
  <si>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</si>
  <si>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</si>
  <si>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</si>
  <si>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</si>
  <si>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</si>
  <si>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</si>
  <si>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</si>
  <si>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</si>
  <si>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</si>
  <si>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</si>
  <si>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</si>
  <si>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</si>
  <si>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</si>
  <si>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</si>
  <si>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</si>
  <si>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</si>
  <si>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</si>
  <si>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</si>
  <si>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</si>
  <si>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</si>
  <si>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</si>
  <si>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</si>
  <si>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</si>
  <si>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</si>
  <si>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</si>
  <si>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</si>
  <si>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</si>
  <si>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</si>
  <si>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</si>
  <si>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</si>
  <si>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</si>
  <si>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</si>
  <si>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</si>
  <si>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</si>
  <si>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</si>
  <si>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</si>
  <si>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</si>
  <si>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</si>
  <si>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</si>
  <si>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</si>
  <si>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</si>
  <si>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</si>
  <si>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</si>
  <si>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</si>
  <si>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</si>
  <si>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</si>
  <si>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</si>
  <si>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</si>
  <si>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</si>
  <si>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</si>
  <si>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</si>
  <si>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</si>
  <si>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</si>
  <si>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</si>
  <si>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</si>
  <si>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</si>
  <si>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</si>
  <si>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</si>
  <si>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</si>
  <si>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</si>
  <si>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</si>
  <si>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</si>
  <si>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</si>
  <si>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</si>
  <si>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</si>
  <si>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</si>
  <si>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</si>
  <si>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</si>
  <si>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</si>
  <si>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</si>
  <si>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</si>
  <si>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</si>
  <si>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</si>
  <si>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</si>
  <si>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</si>
  <si>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</si>
  <si>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</si>
  <si>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</si>
  <si>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</si>
  <si>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</si>
  <si>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</si>
  <si>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</si>
  <si>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</si>
  <si>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</si>
  <si>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</si>
  <si>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</si>
  <si>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</si>
  <si>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</si>
  <si>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</si>
  <si>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</si>
  <si>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</si>
  <si>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</si>
  <si>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</si>
  <si>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</si>
  <si>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</si>
  <si>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</si>
  <si>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</si>
  <si>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</si>
  <si>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</si>
  <si>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</si>
  <si>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</si>
  <si>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</si>
  <si>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</si>
  <si>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</si>
  <si>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</si>
  <si>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</si>
  <si>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</si>
  <si>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</si>
  <si>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</si>
  <si>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</si>
  <si>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</si>
  <si>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</si>
  <si>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</si>
  <si>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</si>
  <si>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</si>
  <si>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</si>
  <si>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</si>
  <si>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</si>
  <si>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</si>
  <si>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</si>
  <si>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</si>
  <si>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</si>
  <si>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</si>
  <si>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</si>
  <si>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</si>
  <si>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</si>
  <si>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</si>
  <si>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</si>
  <si>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</si>
  <si>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</si>
  <si>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</si>
  <si>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</si>
  <si>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</si>
  <si>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</si>
  <si>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</si>
  <si>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</si>
  <si>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</si>
  <si>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</si>
  <si>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</si>
  <si>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</si>
  <si>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</si>
  <si>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</si>
  <si>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</si>
  <si>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</si>
  <si>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</si>
  <si>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</si>
  <si>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</si>
  <si>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</si>
  <si>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</si>
  <si>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</si>
  <si>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</si>
  <si>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</si>
  <si>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</si>
  <si>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</si>
  <si>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</si>
  <si>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</si>
  <si>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</si>
  <si>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</si>
  <si>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</si>
  <si>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</si>
  <si>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</si>
  <si>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</si>
  <si>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</si>
  <si>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</si>
  <si>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</si>
  <si>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</si>
  <si>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</si>
  <si>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</si>
  <si>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</si>
  <si>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</si>
  <si>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</si>
  <si>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</si>
  <si>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</si>
  <si>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</si>
  <si>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</si>
  <si>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</si>
  <si>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</si>
  <si>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</si>
  <si>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</si>
  <si>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</si>
  <si>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</si>
  <si>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</si>
  <si>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</si>
  <si>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</si>
  <si>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</si>
  <si>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</si>
  <si>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</si>
  <si>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</si>
  <si>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</si>
  <si>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</si>
  <si>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</si>
  <si>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</si>
  <si>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</si>
  <si>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</si>
  <si>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</si>
  <si>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</si>
  <si>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</si>
  <si>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</si>
  <si>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</si>
  <si>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</si>
  <si>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</si>
  <si>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</si>
  <si>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</si>
  <si>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</si>
  <si>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</si>
  <si>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</si>
  <si>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</si>
  <si>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</si>
  <si>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</si>
  <si>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</si>
  <si>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</si>
  <si>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</si>
  <si>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</si>
  <si>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</si>
  <si>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</si>
  <si>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</si>
  <si>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</si>
  <si>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</si>
  <si>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</si>
  <si>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</si>
  <si>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</si>
  <si>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</si>
  <si>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</si>
  <si>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</si>
  <si>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</si>
  <si>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</si>
  <si>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</si>
  <si>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</si>
  <si>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</si>
  <si>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</si>
  <si>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</si>
  <si>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</si>
  <si>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</si>
  <si>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</si>
  <si>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</si>
  <si>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</si>
  <si>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</si>
  <si>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</si>
  <si>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</si>
  <si>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</si>
  <si>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</si>
  <si>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</si>
  <si>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</si>
  <si>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</si>
  <si>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</si>
  <si>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</si>
  <si>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</si>
  <si>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</si>
  <si>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</si>
  <si>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</si>
  <si>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</si>
  <si>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</si>
  <si>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</si>
  <si>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</si>
  <si>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</si>
  <si>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</si>
  <si>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</si>
  <si>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</si>
  <si>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</si>
  <si>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</si>
  <si>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</si>
  <si>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</si>
  <si>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</si>
  <si>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</si>
  <si>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</si>
  <si>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</si>
  <si>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</si>
  <si>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</si>
  <si>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</si>
  <si>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</si>
  <si>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</si>
  <si>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</si>
  <si>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</si>
  <si>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</si>
  <si>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</si>
  <si>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</si>
  <si>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</si>
  <si>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</si>
  <si>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</si>
  <si>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</si>
  <si>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</si>
  <si>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</si>
  <si>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</si>
  <si>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</si>
  <si>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</si>
  <si>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</si>
  <si>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</si>
  <si>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</si>
  <si>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</si>
  <si>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</si>
  <si>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</si>
  <si>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</si>
  <si>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</si>
  <si>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</si>
  <si>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</si>
  <si>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</si>
  <si>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</si>
  <si>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</si>
  <si>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</si>
  <si>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</si>
  <si>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</si>
  <si>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</si>
  <si>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</si>
  <si>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</si>
  <si>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</si>
  <si>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</si>
  <si>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</si>
  <si>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</si>
  <si>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</si>
  <si>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</si>
  <si>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</si>
  <si>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</si>
  <si>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</si>
  <si>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</si>
  <si>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</si>
  <si>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</si>
  <si>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</si>
  <si>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</si>
  <si>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</si>
  <si>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</si>
  <si>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</si>
  <si>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</si>
  <si>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</si>
  <si>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</si>
  <si>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</si>
  <si>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</si>
  <si>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</si>
  <si>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</si>
  <si>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</si>
  <si>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</si>
  <si>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</si>
  <si>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</si>
  <si>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</si>
  <si>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</si>
  <si>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</si>
  <si>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</si>
  <si>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</si>
  <si>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</si>
  <si>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</si>
  <si>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</si>
  <si>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</si>
  <si>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</si>
  <si>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</si>
  <si>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</si>
  <si>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</si>
  <si>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</si>
  <si>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</si>
  <si>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</si>
  <si>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</si>
  <si>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</si>
  <si>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</si>
  <si>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</si>
  <si>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</si>
  <si>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</si>
  <si>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</si>
  <si>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</si>
  <si>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</si>
  <si>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</si>
  <si>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</si>
  <si>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</si>
  <si>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</si>
  <si>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</si>
  <si>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</si>
  <si>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</si>
  <si>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</si>
  <si>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</si>
  <si>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</si>
  <si>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</si>
  <si>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</si>
  <si>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</si>
  <si>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</si>
  <si>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</si>
  <si>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</si>
  <si>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</si>
  <si>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</si>
  <si>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</si>
  <si>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</si>
  <si>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</si>
  <si>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</si>
  <si>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</si>
  <si>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</si>
  <si>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</si>
  <si>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</si>
  <si>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</si>
  <si>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</si>
  <si>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</si>
  <si>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</si>
  <si>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</si>
  <si>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</si>
  <si>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</si>
  <si>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</si>
  <si>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</si>
  <si>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</si>
  <si>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</si>
  <si>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</si>
  <si>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</si>
  <si>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</si>
  <si>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</si>
  <si>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</si>
  <si>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</si>
  <si>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</si>
  <si>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</si>
  <si>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</si>
  <si>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</si>
  <si>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</si>
  <si>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</si>
  <si>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</si>
  <si>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</si>
  <si>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</si>
  <si>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</si>
  <si>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</si>
  <si>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</si>
  <si>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</si>
  <si>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</si>
  <si>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</si>
  <si>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</si>
  <si>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</si>
  <si>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</si>
  <si>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</si>
  <si>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</si>
  <si>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</si>
  <si>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</si>
  <si>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</si>
  <si>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</si>
  <si>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</si>
  <si>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</si>
  <si>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</si>
  <si>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</si>
  <si>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</si>
  <si>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</si>
  <si>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</si>
  <si>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</si>
  <si>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</si>
  <si>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</si>
  <si>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</si>
  <si>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</si>
  <si>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</si>
  <si>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</si>
  <si>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</si>
  <si>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</si>
  <si>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</si>
  <si>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</si>
  <si>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</si>
  <si>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</si>
  <si>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</si>
  <si>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</si>
  <si>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</si>
  <si>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</si>
  <si>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</si>
  <si>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</si>
  <si>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</si>
  <si>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</si>
  <si>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</si>
  <si>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</si>
  <si>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</si>
  <si>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</si>
  <si>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</si>
  <si>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</si>
  <si>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</si>
  <si>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</si>
  <si>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</si>
  <si>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</si>
  <si>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</si>
  <si>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</si>
  <si>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</si>
  <si>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</si>
  <si>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</si>
  <si>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</si>
  <si>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</si>
  <si>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</si>
  <si>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</si>
  <si>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</si>
  <si>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</si>
  <si>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</si>
  <si>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</si>
  <si>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</si>
  <si>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</si>
  <si>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</si>
  <si>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</si>
  <si>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</si>
  <si>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</si>
  <si>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</si>
  <si>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</si>
  <si>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</si>
  <si>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</si>
  <si>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</si>
  <si>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</si>
  <si>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</si>
  <si>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</si>
  <si>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</si>
  <si>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</si>
  <si>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</si>
  <si>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</si>
  <si>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</si>
  <si>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</si>
  <si>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</si>
  <si>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</si>
  <si>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</si>
  <si>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</si>
  <si>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</si>
  <si>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</si>
  <si>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</si>
  <si>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</si>
  <si>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</si>
  <si>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</si>
  <si>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</si>
  <si>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</si>
  <si>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</si>
  <si>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</si>
  <si>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</si>
  <si>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</si>
  <si>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</si>
  <si>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</si>
  <si>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</si>
  <si>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</si>
  <si>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</si>
  <si>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</si>
  <si>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</si>
  <si>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</si>
  <si>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</si>
  <si>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</si>
  <si>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</si>
  <si>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</si>
  <si>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</si>
  <si>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</si>
  <si>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</si>
  <si>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</si>
  <si>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</si>
  <si>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</si>
  <si>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</si>
  <si>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</si>
  <si>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</si>
  <si>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</si>
  <si>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</si>
  <si>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</si>
  <si>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</si>
  <si>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</si>
  <si>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</si>
  <si>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</si>
  <si>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</si>
  <si>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</si>
  <si>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</si>
  <si>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</si>
  <si>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</si>
  <si>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</si>
  <si>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</si>
  <si>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</si>
  <si>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</si>
  <si>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</si>
  <si>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</si>
  <si>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</si>
  <si>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</si>
  <si>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</si>
  <si>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</si>
  <si>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</si>
  <si>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</si>
  <si>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</si>
  <si>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</si>
  <si>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</si>
  <si>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</si>
  <si>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</si>
  <si>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</si>
  <si>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</si>
  <si>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</si>
  <si>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</si>
  <si>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</si>
  <si>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</si>
  <si>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</si>
  <si>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</si>
  <si>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</si>
  <si>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</si>
  <si>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</si>
  <si>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</si>
  <si>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</si>
  <si>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</si>
  <si>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</si>
  <si>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</si>
  <si>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</si>
  <si>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</si>
  <si>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</si>
  <si>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</si>
  <si>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</si>
  <si>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</si>
  <si>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</si>
  <si>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</si>
  <si>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</si>
  <si>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</si>
  <si>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</si>
  <si>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</si>
  <si>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</si>
  <si>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</si>
  <si>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</si>
  <si>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</si>
  <si>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</si>
  <si>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</si>
  <si>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</si>
  <si>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</si>
  <si>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</si>
  <si>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</si>
  <si>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</si>
  <si>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</si>
  <si>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</si>
  <si>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</si>
  <si>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</si>
  <si>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</si>
  <si>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</si>
  <si>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</si>
  <si>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</si>
  <si>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</si>
  <si>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</si>
  <si>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</si>
  <si>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</si>
  <si>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</si>
  <si>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</si>
  <si>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</si>
  <si>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</si>
  <si>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</si>
  <si>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</si>
  <si>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</si>
  <si>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</si>
  <si>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</si>
  <si>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</si>
  <si>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</si>
  <si>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</si>
  <si>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</si>
  <si>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</si>
  <si>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</si>
  <si>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</si>
  <si>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</si>
  <si>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</si>
  <si>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</si>
  <si>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</si>
  <si>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</si>
  <si>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</si>
  <si>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</si>
  <si>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</si>
  <si>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</si>
  <si>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</si>
  <si>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</si>
  <si>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</si>
  <si>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</si>
  <si>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</si>
  <si>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</si>
  <si>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</si>
  <si>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</si>
  <si>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</si>
  <si>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</si>
  <si>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</si>
  <si>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</si>
  <si>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</si>
  <si>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</si>
  <si>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</si>
  <si>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</si>
  <si>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</si>
  <si>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</si>
  <si>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</si>
  <si>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</si>
  <si>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</si>
  <si>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</si>
  <si>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</si>
  <si>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</si>
  <si>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</si>
  <si>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</si>
  <si>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</si>
  <si>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</si>
  <si>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</si>
  <si>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</si>
  <si>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</si>
  <si>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</si>
  <si>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</si>
  <si>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</si>
  <si>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</si>
  <si>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</si>
  <si>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</si>
  <si>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</si>
  <si>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</si>
  <si>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</si>
  <si>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</si>
  <si>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</si>
  <si>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</si>
  <si>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</si>
  <si>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</si>
  <si>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</si>
  <si>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</si>
  <si>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</si>
  <si>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</si>
  <si>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</si>
  <si>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</si>
  <si>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</si>
  <si>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</si>
  <si>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</si>
  <si>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</si>
  <si>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</si>
  <si>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</si>
  <si>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</si>
  <si>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</si>
  <si>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</si>
  <si>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</si>
  <si>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</si>
  <si>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</si>
  <si>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</si>
  <si>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</si>
  <si>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</si>
  <si>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</si>
  <si>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</si>
  <si>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</si>
  <si>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</si>
  <si>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</si>
  <si>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</si>
  <si>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</si>
  <si>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</si>
  <si>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</si>
  <si>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</si>
  <si>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</si>
  <si>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</si>
  <si>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</si>
  <si>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</si>
  <si>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</si>
  <si>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</si>
  <si>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</si>
  <si>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</si>
  <si>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</si>
  <si>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</si>
  <si>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</si>
  <si>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</si>
  <si>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</si>
  <si>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</si>
  <si>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</si>
  <si>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</si>
  <si>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</si>
  <si>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</si>
  <si>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</si>
  <si>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</si>
  <si>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</si>
  <si>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</si>
  <si>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</si>
  <si>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</si>
  <si>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</si>
  <si>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</si>
  <si>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</si>
  <si>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</si>
  <si>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</si>
  <si>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</si>
  <si>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</si>
  <si>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2636</t>
  </si>
  <si>
    <t>26560525</t>
  </si>
  <si>
    <t>АО "ГУ ЖКХ"</t>
  </si>
  <si>
    <t>5116000922</t>
  </si>
  <si>
    <t>511601001</t>
  </si>
  <si>
    <t>13-05-2009 00:00:00</t>
  </si>
  <si>
    <t>30373688</t>
  </si>
  <si>
    <t>583645001</t>
  </si>
  <si>
    <t>26319940</t>
  </si>
  <si>
    <t>АО "Пензенская Горэлектросеть"</t>
  </si>
  <si>
    <t>5836601606</t>
  </si>
  <si>
    <t>583601001</t>
  </si>
  <si>
    <t>30360725</t>
  </si>
  <si>
    <t>АО "Пензтеплоснабжение"</t>
  </si>
  <si>
    <t>5836631600</t>
  </si>
  <si>
    <t>26546012</t>
  </si>
  <si>
    <t>АО "РЭУ"</t>
  </si>
  <si>
    <t>7714783092</t>
  </si>
  <si>
    <t>644943001</t>
  </si>
  <si>
    <t>31412502</t>
  </si>
  <si>
    <t>АО "ФНПЦ "ПО "Старт" им. М.В. Проценко"</t>
  </si>
  <si>
    <t>5838013374</t>
  </si>
  <si>
    <t>583801001</t>
  </si>
  <si>
    <t>30360685</t>
  </si>
  <si>
    <t>АО "ЦМК-Энерго"</t>
  </si>
  <si>
    <t>7705596057</t>
  </si>
  <si>
    <t>770501001</t>
  </si>
  <si>
    <t>26442820</t>
  </si>
  <si>
    <t>АО "Энергоснабжающее предприятие"</t>
  </si>
  <si>
    <t>5834006256</t>
  </si>
  <si>
    <t>583401001</t>
  </si>
  <si>
    <t>26485308</t>
  </si>
  <si>
    <t>АО “РЭУ” “Самарский”</t>
  </si>
  <si>
    <t>631143001</t>
  </si>
  <si>
    <t>30366451</t>
  </si>
  <si>
    <t>ГАПОУ ПО "Пензенский многопрофильный колледж"</t>
  </si>
  <si>
    <t>5834007436</t>
  </si>
  <si>
    <t>583701001</t>
  </si>
  <si>
    <t>28870295</t>
  </si>
  <si>
    <t>ГБУ Пензенский областной центр реабилитации</t>
  </si>
  <si>
    <t>5836010040</t>
  </si>
  <si>
    <t>28453297</t>
  </si>
  <si>
    <t>ГБУЗ "Областная наркологическая больница"</t>
  </si>
  <si>
    <t>5835040860</t>
  </si>
  <si>
    <t>26444076</t>
  </si>
  <si>
    <t>ГОУ СПО Пензенской области "ПАТК"</t>
  </si>
  <si>
    <t>28870112</t>
  </si>
  <si>
    <t>ЗАО Теплоэнергетическая компания Пензенской области</t>
  </si>
  <si>
    <t>5821901653</t>
  </si>
  <si>
    <t>582101001</t>
  </si>
  <si>
    <t>22-01-2025 00:00:00</t>
  </si>
  <si>
    <t>31382238</t>
  </si>
  <si>
    <t>ИП Задояная Ксения Анатольевна</t>
  </si>
  <si>
    <t>590422002896</t>
  </si>
  <si>
    <t>01-01-2020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</si>
  <si>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</si>
  <si>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</si>
  <si>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</si>
  <si>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</si>
  <si>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</si>
  <si>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</si>
  <si>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</si>
  <si>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</si>
  <si>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31282569</t>
  </si>
  <si>
    <t>ЛПДС "Башмаково" филиала ПРУ АО "Транснефть-Дружба"</t>
  </si>
  <si>
    <t>580602001</t>
  </si>
  <si>
    <t>31282576</t>
  </si>
  <si>
    <t>ЛПДС "Пенза" филиала ПРУ АО "Транснефть-Дружба"</t>
  </si>
  <si>
    <t>580931001</t>
  </si>
  <si>
    <t>26524341</t>
  </si>
  <si>
    <t>ЛПДС "Пенза-2" филиала ПРУ АО "Транснефть-Дружба"</t>
  </si>
  <si>
    <t>583545001</t>
  </si>
  <si>
    <t>26824736</t>
  </si>
  <si>
    <t>ЛПДС "Соседка" филиала ПРУ АО "Транснефть-Дружба"</t>
  </si>
  <si>
    <t>580645001</t>
  </si>
  <si>
    <t>26443935</t>
  </si>
  <si>
    <t>ЛПУ "Санаторий им.В.В. Володарского"</t>
  </si>
  <si>
    <t>5834013694</t>
  </si>
  <si>
    <t>26359217</t>
  </si>
  <si>
    <t>ЛПУ санаторий "Березовая роща"</t>
  </si>
  <si>
    <t>5829120010</t>
  </si>
  <si>
    <t>582901001</t>
  </si>
  <si>
    <t>26774696</t>
  </si>
  <si>
    <t>ЛПУ санаторий имени С.М. Кирова</t>
  </si>
  <si>
    <t>5834014063</t>
  </si>
  <si>
    <t>31746303</t>
  </si>
  <si>
    <t>МАУ "Жилкомсервис"</t>
  </si>
  <si>
    <t>5800003899</t>
  </si>
  <si>
    <t>580001001</t>
  </si>
  <si>
    <t>28040521</t>
  </si>
  <si>
    <t>МБУК "межпоселенческий центральный районный Дом Культуры"</t>
  </si>
  <si>
    <t>5826105736</t>
  </si>
  <si>
    <t>582601001</t>
  </si>
  <si>
    <t>МИНИСТЕРСТВО ЖИЛИЩНО-КОММУНАЛЬНОГО ХОЗЯЙСТВА И ГРАЖДАНСКОЙ ЗАЩИТЫ НАСЕЛЕНИЯ ПЕНЗЕНСКОЙ ОБЛАСТИ</t>
  </si>
  <si>
    <t>5836675975</t>
  </si>
  <si>
    <t>26359195</t>
  </si>
  <si>
    <t>МКП "Жилсервис"</t>
  </si>
  <si>
    <t>5809126422</t>
  </si>
  <si>
    <t>580901001</t>
  </si>
  <si>
    <t>26430837</t>
  </si>
  <si>
    <t>МКП "Исток"</t>
  </si>
  <si>
    <t>5809000187</t>
  </si>
  <si>
    <t>31739925</t>
  </si>
  <si>
    <t>МКП "Колышлейское ЖКХ"</t>
  </si>
  <si>
    <t>5817004315</t>
  </si>
  <si>
    <t>581701001</t>
  </si>
  <si>
    <t>31678636</t>
  </si>
  <si>
    <t>МКП "Коммунальщик"</t>
  </si>
  <si>
    <t>5826007545</t>
  </si>
  <si>
    <t>31543667</t>
  </si>
  <si>
    <t>МКП "Лунинское ЖКХ"</t>
  </si>
  <si>
    <t>5821005047</t>
  </si>
  <si>
    <t>26-11-2019 00:00:00</t>
  </si>
  <si>
    <t>31449856</t>
  </si>
  <si>
    <t>МКП "ТЕПЛОКОМ"</t>
  </si>
  <si>
    <t>5827002420</t>
  </si>
  <si>
    <t>582701001</t>
  </si>
  <si>
    <t>02-09-2020 00:00:00</t>
  </si>
  <si>
    <t>27662791</t>
  </si>
  <si>
    <t>МКП "Тепловодоснабжение" Белинского района</t>
  </si>
  <si>
    <t>5810007003</t>
  </si>
  <si>
    <t>581001001</t>
  </si>
  <si>
    <t>31436980</t>
  </si>
  <si>
    <t>МКП "Теплосеть"</t>
  </si>
  <si>
    <t>5803030668</t>
  </si>
  <si>
    <t>580301001</t>
  </si>
  <si>
    <t>15-06-2020 00:00:00</t>
  </si>
  <si>
    <t>31343153</t>
  </si>
  <si>
    <t>5805014005</t>
  </si>
  <si>
    <t>580501001</t>
  </si>
  <si>
    <t>26359226</t>
  </si>
  <si>
    <t>МКП "Теплоснабжение г. Пензы"</t>
  </si>
  <si>
    <t>5836013530</t>
  </si>
  <si>
    <t>31382368</t>
  </si>
  <si>
    <t>МКП «Кижеватовское»</t>
  </si>
  <si>
    <t>5809004569</t>
  </si>
  <si>
    <t>31801580</t>
  </si>
  <si>
    <t>МКП ЖКХ "Альянс"</t>
  </si>
  <si>
    <t>5800006681</t>
  </si>
  <si>
    <t>15-07-2024 00:00:00</t>
  </si>
  <si>
    <t>26359214</t>
  </si>
  <si>
    <t>ММУП  ЖКХ "Леонидовка"</t>
  </si>
  <si>
    <t>5829030415</t>
  </si>
  <si>
    <t>26359212</t>
  </si>
  <si>
    <t>МУП "Богословка"</t>
  </si>
  <si>
    <t>5829024757</t>
  </si>
  <si>
    <t>30360697</t>
  </si>
  <si>
    <t>МУП "ГАРАНТ"</t>
  </si>
  <si>
    <t>5816004802</t>
  </si>
  <si>
    <t>581601001</t>
  </si>
  <si>
    <t>26359204</t>
  </si>
  <si>
    <t>МУП "Жилкомсервис"</t>
  </si>
  <si>
    <t>5823100031</t>
  </si>
  <si>
    <t>582301001</t>
  </si>
  <si>
    <t>19-03-2024 00:00:00</t>
  </si>
  <si>
    <t>26444147</t>
  </si>
  <si>
    <t>МУП "Зеленое хозяйство"</t>
  </si>
  <si>
    <t>5837024052</t>
  </si>
  <si>
    <t>28-06-2024 00:00:00</t>
  </si>
  <si>
    <t>26359177</t>
  </si>
  <si>
    <t>МУП "Каменская горэлектротеплосеть"</t>
  </si>
  <si>
    <t>5802001897</t>
  </si>
  <si>
    <t>580201001</t>
  </si>
  <si>
    <t>27601931</t>
  </si>
  <si>
    <t>МУП "Камешкирское коммунальное хозяйство"</t>
  </si>
  <si>
    <t>5816004457</t>
  </si>
  <si>
    <t>28461620</t>
  </si>
  <si>
    <t>МУП "Коммунальное хозяйство"</t>
  </si>
  <si>
    <t>5831901081</t>
  </si>
  <si>
    <t>583101001</t>
  </si>
  <si>
    <t>16-05-2024 00:00:00</t>
  </si>
  <si>
    <t>26359202</t>
  </si>
  <si>
    <t>МУП "Кондольское МПО ЖКХ"</t>
  </si>
  <si>
    <t>5818000497</t>
  </si>
  <si>
    <t>581801001</t>
  </si>
  <si>
    <t>26359213</t>
  </si>
  <si>
    <t>МУП "Ленинский ЖЭУ"</t>
  </si>
  <si>
    <t>5829030253</t>
  </si>
  <si>
    <t>26359207</t>
  </si>
  <si>
    <t>МУП "Никольское ЖКХ"</t>
  </si>
  <si>
    <t>5826000821</t>
  </si>
  <si>
    <t>26429945</t>
  </si>
  <si>
    <t>МУП "По очистке города"</t>
  </si>
  <si>
    <t>5837003711</t>
  </si>
  <si>
    <t>19-12-2024 00:00:00</t>
  </si>
  <si>
    <t>26359216</t>
  </si>
  <si>
    <t>МУП "Прогресс"</t>
  </si>
  <si>
    <t>5829100060</t>
  </si>
  <si>
    <t>27424050</t>
  </si>
  <si>
    <t>МУП "Теплоснабжение"</t>
  </si>
  <si>
    <t>5812901262</t>
  </si>
  <si>
    <t>581201001</t>
  </si>
  <si>
    <t>26434895</t>
  </si>
  <si>
    <t>МУП ЖКХ "Варваровское"</t>
  </si>
  <si>
    <t>5802003630</t>
  </si>
  <si>
    <t>27574180</t>
  </si>
  <si>
    <t>МУП ЖКХ "Мещерского сельсовета"</t>
  </si>
  <si>
    <t>5805008280</t>
  </si>
  <si>
    <t>11-03-2025 00:00:00</t>
  </si>
  <si>
    <t>28007102</t>
  </si>
  <si>
    <t>МУП ЖКХ "Саловка"</t>
  </si>
  <si>
    <t>5829901327</t>
  </si>
  <si>
    <t>26535200</t>
  </si>
  <si>
    <t>МУП ЖКХ "Сокольское"</t>
  </si>
  <si>
    <t>5805010392</t>
  </si>
  <si>
    <t>31451259</t>
  </si>
  <si>
    <t>МУП ЖКХ "Старокаменское"</t>
  </si>
  <si>
    <t>5829004912</t>
  </si>
  <si>
    <t>20-05-2019 00:00:00</t>
  </si>
  <si>
    <t>28873042</t>
  </si>
  <si>
    <t>МУП ЖКХ "Универсал"</t>
  </si>
  <si>
    <t>5805012463</t>
  </si>
  <si>
    <t>15-05-2012 00:00:00</t>
  </si>
  <si>
    <t>28453440</t>
  </si>
  <si>
    <t>МУП Земетчинское</t>
  </si>
  <si>
    <t>5813003952</t>
  </si>
  <si>
    <t>581301001</t>
  </si>
  <si>
    <t>28869580</t>
  </si>
  <si>
    <t>МУП Сервис</t>
  </si>
  <si>
    <t>5812902594</t>
  </si>
  <si>
    <t>27662788</t>
  </si>
  <si>
    <t>МЭУ Бессоновского района</t>
  </si>
  <si>
    <t>5809026690</t>
  </si>
  <si>
    <t>26359176</t>
  </si>
  <si>
    <t>ОАО "Атмис-сахар"</t>
  </si>
  <si>
    <t>5802000692</t>
  </si>
  <si>
    <t>26444113</t>
  </si>
  <si>
    <t>ОАО "НИИФИ"</t>
  </si>
  <si>
    <t>5836636246</t>
  </si>
  <si>
    <t>26442836</t>
  </si>
  <si>
    <t>ОАО "Пензхиммаш"</t>
  </si>
  <si>
    <t>5835009394</t>
  </si>
  <si>
    <t>26355816</t>
  </si>
  <si>
    <t>ОАО МН "Дружба"</t>
  </si>
  <si>
    <t>323502001</t>
  </si>
  <si>
    <t>26756999</t>
  </si>
  <si>
    <t>ООО "Водоканал"</t>
  </si>
  <si>
    <t>5829731435</t>
  </si>
  <si>
    <t>28453023</t>
  </si>
  <si>
    <t>ООО "ГКС Энерго"</t>
  </si>
  <si>
    <t>5836657126</t>
  </si>
  <si>
    <t>26359229</t>
  </si>
  <si>
    <t>ООО "Гипромаш"</t>
  </si>
  <si>
    <t>5836622317</t>
  </si>
  <si>
    <t>28453625</t>
  </si>
  <si>
    <t>ООО "Группа Компаний "ЦеСИС"</t>
  </si>
  <si>
    <t>5838043890</t>
  </si>
  <si>
    <t>28040276</t>
  </si>
  <si>
    <t>ООО "Земетчиноавтодор"</t>
  </si>
  <si>
    <t>5813003617</t>
  </si>
  <si>
    <t>31342276</t>
  </si>
  <si>
    <t>ООО "Инвайт"</t>
  </si>
  <si>
    <t>5837074014</t>
  </si>
  <si>
    <t>28039924</t>
  </si>
  <si>
    <t>ООО "Инвест-Энерго"</t>
  </si>
  <si>
    <t>5836650233</t>
  </si>
  <si>
    <t>26359211</t>
  </si>
  <si>
    <t>ООО "Каменка"</t>
  </si>
  <si>
    <t>5829121831</t>
  </si>
  <si>
    <t>31193220</t>
  </si>
  <si>
    <t>ООО "Мечта"</t>
  </si>
  <si>
    <t>5805010875</t>
  </si>
  <si>
    <t>31802813</t>
  </si>
  <si>
    <t>ООО "Многопрофильное универсальное предприятие по очистке города"</t>
  </si>
  <si>
    <t>5800011392</t>
  </si>
  <si>
    <t>31720632</t>
  </si>
  <si>
    <t>ООО "Основа жизни"</t>
  </si>
  <si>
    <t>5836689287</t>
  </si>
  <si>
    <t>27718021</t>
  </si>
  <si>
    <t>ООО "Очаг"</t>
  </si>
  <si>
    <t>5813004787</t>
  </si>
  <si>
    <t>31339233</t>
  </si>
  <si>
    <t>ООО "Партнер"</t>
  </si>
  <si>
    <t>5837070362</t>
  </si>
  <si>
    <t>28040058</t>
  </si>
  <si>
    <t>ООО "Пивоваренный завод "Самко"</t>
  </si>
  <si>
    <t>5836602198</t>
  </si>
  <si>
    <t>31563326</t>
  </si>
  <si>
    <t>ООО "РТК"</t>
  </si>
  <si>
    <t>5805014326</t>
  </si>
  <si>
    <t>23-04-2021 00:00:00</t>
  </si>
  <si>
    <t>30862264</t>
  </si>
  <si>
    <t>ООО "Ресурс"</t>
  </si>
  <si>
    <t>5817007073</t>
  </si>
  <si>
    <t>26359228</t>
  </si>
  <si>
    <t>ООО "Серебряный бор"</t>
  </si>
  <si>
    <t>5836616793</t>
  </si>
  <si>
    <t>583406001</t>
  </si>
  <si>
    <t>26444212</t>
  </si>
  <si>
    <t>ООО "Союз"</t>
  </si>
  <si>
    <t>5819004230</t>
  </si>
  <si>
    <t>26319927</t>
  </si>
  <si>
    <t>ООО "Спичечная фабрика "Победа"</t>
  </si>
  <si>
    <t>5827008044</t>
  </si>
  <si>
    <t>28455633</t>
  </si>
  <si>
    <t>ООО "Стимул"</t>
  </si>
  <si>
    <t>5833001985</t>
  </si>
  <si>
    <t>583301001</t>
  </si>
  <si>
    <t>30862249</t>
  </si>
  <si>
    <t>ООО "Строй-Газ-Сервис"</t>
  </si>
  <si>
    <t>5837018796</t>
  </si>
  <si>
    <t>28039848</t>
  </si>
  <si>
    <t>ООО "Строй-Тепло-Сервис"</t>
  </si>
  <si>
    <t>5835086945</t>
  </si>
  <si>
    <t>30360731</t>
  </si>
  <si>
    <t>ООО "ТЕПЛОБЫТСЕРВИС"</t>
  </si>
  <si>
    <t>5809902890</t>
  </si>
  <si>
    <t>30370336</t>
  </si>
  <si>
    <t>ООО "ТЕПЛОКОМ"</t>
  </si>
  <si>
    <t>5834111740</t>
  </si>
  <si>
    <t>30370351</t>
  </si>
  <si>
    <t>ООО "ТЕПЛОЦЕНТРАЛЬ"</t>
  </si>
  <si>
    <t>5837038841</t>
  </si>
  <si>
    <t>31451039</t>
  </si>
  <si>
    <t>ООО "ТК"</t>
  </si>
  <si>
    <t>5837078393</t>
  </si>
  <si>
    <t>06-07-2020 00:00:00</t>
  </si>
  <si>
    <t>31339621</t>
  </si>
  <si>
    <t>ООО "ТеплоВдом"</t>
  </si>
  <si>
    <t>5809004544</t>
  </si>
  <si>
    <t>31413152</t>
  </si>
  <si>
    <t>ООО "ТеплоРесурс"</t>
  </si>
  <si>
    <t>5821005008</t>
  </si>
  <si>
    <t>30862363</t>
  </si>
  <si>
    <t>ООО "ТеплоСервис"</t>
  </si>
  <si>
    <t>5823008879</t>
  </si>
  <si>
    <t>30924235</t>
  </si>
  <si>
    <t>ООО "Тепловек"</t>
  </si>
  <si>
    <t>5837069335</t>
  </si>
  <si>
    <t>31215856</t>
  </si>
  <si>
    <t>ООО "Территория жизни"</t>
  </si>
  <si>
    <t>5836661813</t>
  </si>
  <si>
    <t>28453461</t>
  </si>
  <si>
    <t>ООО "Энергоаудитконсалтинг"</t>
  </si>
  <si>
    <t>5836626738</t>
  </si>
  <si>
    <t>26359190</t>
  </si>
  <si>
    <t>ООО "Энергосервис"</t>
  </si>
  <si>
    <t>5807003619</t>
  </si>
  <si>
    <t>580701001</t>
  </si>
  <si>
    <t>26359198</t>
  </si>
  <si>
    <t>5812006319</t>
  </si>
  <si>
    <t>31461341</t>
  </si>
  <si>
    <t>ООО "Энергоцентр "Мокшан"</t>
  </si>
  <si>
    <t>5836689350</t>
  </si>
  <si>
    <t>18-02-2019 00:00:00</t>
  </si>
  <si>
    <t>28872733</t>
  </si>
  <si>
    <t>ООО КОМЭНЕРГО</t>
  </si>
  <si>
    <t>5809902523</t>
  </si>
  <si>
    <t>31727101</t>
  </si>
  <si>
    <t>ООО УК "Кристалл"</t>
  </si>
  <si>
    <t>5835088526</t>
  </si>
  <si>
    <t>28870374</t>
  </si>
  <si>
    <t>ООО ЭнергоПромРесурс</t>
  </si>
  <si>
    <t>5838009515</t>
  </si>
  <si>
    <t>26359201</t>
  </si>
  <si>
    <t>ООО санаторий "Хопровские зори"</t>
  </si>
  <si>
    <t>5817000430</t>
  </si>
  <si>
    <t>26774687</t>
  </si>
  <si>
    <t>ПКФ "Термодом"</t>
  </si>
  <si>
    <t>5838041075</t>
  </si>
  <si>
    <t>28453546</t>
  </si>
  <si>
    <t>ПТЖТ - филиал СамГУПС</t>
  </si>
  <si>
    <t>6318100463</t>
  </si>
  <si>
    <t>583443001</t>
  </si>
  <si>
    <t>УПРАВЛЕНИЕ ПО РЕГУЛИРОВАНИЮ ТАРИФОВ, РАЗВИТИЮ ИНФРАСТРУКТУРЫ И ЭНЕРГОСБЕРЕЖЕНИЮ ПЕНЗЕНСКОЙ ОБЛАСТИ</t>
  </si>
  <si>
    <t>5836013308</t>
  </si>
  <si>
    <t>28039968</t>
  </si>
  <si>
    <t>ФБУ "ФУ БХУХО" (войсковая часть 21222)</t>
  </si>
  <si>
    <t>7724729390</t>
  </si>
  <si>
    <t>582943001</t>
  </si>
  <si>
    <t>26319941</t>
  </si>
  <si>
    <t>ФБУ ИК-5 УФСИН России</t>
  </si>
  <si>
    <t>5837012307</t>
  </si>
  <si>
    <t>26319934</t>
  </si>
  <si>
    <t>ФГУП "Госкорпорация по ОрВД в РФ" Пензенский Центр ОВД</t>
  </si>
  <si>
    <t>7734135124</t>
  </si>
  <si>
    <t>583732001</t>
  </si>
  <si>
    <t>27568459</t>
  </si>
  <si>
    <t>ФКУ "Войсковая часть 45108"</t>
  </si>
  <si>
    <t>5819003660</t>
  </si>
  <si>
    <t>26359222</t>
  </si>
  <si>
    <t>ФКУ ИК-4 УФСИН России</t>
  </si>
  <si>
    <t>5834014747</t>
  </si>
  <si>
    <t>28870318</t>
  </si>
  <si>
    <t>Филиал "Мордовский" ПАО "Т Плюс"</t>
  </si>
  <si>
    <t>6315376946</t>
  </si>
  <si>
    <t>15-06-2015 00:00:00</t>
  </si>
  <si>
    <t>31710568</t>
  </si>
  <si>
    <t>Филиал "Пензенский" ПАО "Т Плюс"</t>
  </si>
  <si>
    <t>583443002</t>
  </si>
  <si>
    <t>17-10-2023 00:00:00</t>
  </si>
  <si>
    <t>28040032</t>
  </si>
  <si>
    <t>Филиал ООО "Газпром трансгаз Нижний Новгород"-"Волгоавтогаз"</t>
  </si>
  <si>
    <t>5260080007</t>
  </si>
  <si>
    <t>582903001</t>
  </si>
  <si>
    <t>30914574</t>
  </si>
  <si>
    <t>Филиал ФГБУ "ЦЖКУ" МИНОБОРОНЫ РОССИИ (по ЦВО)</t>
  </si>
  <si>
    <t>7729314745</t>
  </si>
  <si>
    <t>667043001</t>
  </si>
  <si>
    <t>28456756</t>
  </si>
  <si>
    <t>АО "Земетчинский сахарный завод"</t>
  </si>
  <si>
    <t>5813003663</t>
  </si>
  <si>
    <t>28043734</t>
  </si>
  <si>
    <t>Башмаковское ЛПУ МГ</t>
  </si>
  <si>
    <t>6453010110</t>
  </si>
  <si>
    <t>26774909</t>
  </si>
  <si>
    <t>ЗАО "Белинсксельмаш"</t>
  </si>
  <si>
    <t>5802003037</t>
  </si>
  <si>
    <t>26776202</t>
  </si>
  <si>
    <t>ИП Девликамов К.А.</t>
  </si>
  <si>
    <t>580201733500</t>
  </si>
  <si>
    <t>31468064</t>
  </si>
  <si>
    <t>ИП Ионова Л.В.</t>
  </si>
  <si>
    <t>580301610332</t>
  </si>
  <si>
    <t>08-04-2025 00:00:00</t>
  </si>
  <si>
    <t>27577685</t>
  </si>
  <si>
    <t>ИП Меньшов С.И.</t>
  </si>
  <si>
    <t>580300194785</t>
  </si>
  <si>
    <t>28054441</t>
  </si>
  <si>
    <t>ИП Сухов В.А.</t>
  </si>
  <si>
    <t>581002090341</t>
  </si>
  <si>
    <t>30862204</t>
  </si>
  <si>
    <t>ИП Тенишев Р.А.</t>
  </si>
  <si>
    <t>580316729228</t>
  </si>
  <si>
    <t>01-07-2016 00:00:00</t>
  </si>
  <si>
    <t>27667515</t>
  </si>
  <si>
    <t>ИП Фомин Д.А.</t>
  </si>
  <si>
    <t>645390471243</t>
  </si>
  <si>
    <t>28044037</t>
  </si>
  <si>
    <t>ИП Шалдыбин</t>
  </si>
  <si>
    <t>580310138003</t>
  </si>
  <si>
    <t>31760252</t>
  </si>
  <si>
    <t>МКП "Алферьевское ЖКХ"</t>
  </si>
  <si>
    <t>5800004733</t>
  </si>
  <si>
    <t>24-04-2024 00:00:00</t>
  </si>
  <si>
    <t>31598803</t>
  </si>
  <si>
    <t>МКП "ВодКомСервис"</t>
  </si>
  <si>
    <t>5823009449</t>
  </si>
  <si>
    <t>26430782</t>
  </si>
  <si>
    <t>МКП "Водоканал"</t>
  </si>
  <si>
    <t>5805000355</t>
  </si>
  <si>
    <t>30840596</t>
  </si>
  <si>
    <t>5827902420</t>
  </si>
  <si>
    <t>31503682</t>
  </si>
  <si>
    <t>МКП "Возрождение" Сердобского района</t>
  </si>
  <si>
    <t>5805014090</t>
  </si>
  <si>
    <t>30862209</t>
  </si>
  <si>
    <t>МКП "Горводоканал"</t>
  </si>
  <si>
    <t>5826006781</t>
  </si>
  <si>
    <t>26431267</t>
  </si>
  <si>
    <t>МКП "Грабовское ЖКХ"</t>
  </si>
  <si>
    <t>5809024847</t>
  </si>
  <si>
    <t>31341931</t>
  </si>
  <si>
    <t>МКП "Иссинское" ЖКХ</t>
  </si>
  <si>
    <t>5814003497</t>
  </si>
  <si>
    <t>581401001</t>
  </si>
  <si>
    <t>31856076</t>
  </si>
  <si>
    <t>5800009682</t>
  </si>
  <si>
    <t>31639949</t>
  </si>
  <si>
    <t>МКП "Коммунальное хозяйство"</t>
  </si>
  <si>
    <t>5808006041</t>
  </si>
  <si>
    <t>580801001</t>
  </si>
  <si>
    <t>31838755</t>
  </si>
  <si>
    <t>5803031830</t>
  </si>
  <si>
    <t>31861874</t>
  </si>
  <si>
    <t>МКП "Лопатинское"</t>
  </si>
  <si>
    <t>5800004821</t>
  </si>
  <si>
    <t>31838760</t>
  </si>
  <si>
    <t>МКП "Никольское"</t>
  </si>
  <si>
    <t>5800013689</t>
  </si>
  <si>
    <t>31564990</t>
  </si>
  <si>
    <t>МКП "Пачелмское"</t>
  </si>
  <si>
    <t>5828003874</t>
  </si>
  <si>
    <t>582801001</t>
  </si>
  <si>
    <t>28873760</t>
  </si>
  <si>
    <t>МКП "ПрофКомСервис"</t>
  </si>
  <si>
    <t>5807003873</t>
  </si>
  <si>
    <t>31816786</t>
  </si>
  <si>
    <t>МКП "Ресурс"</t>
  </si>
  <si>
    <t>5800000305</t>
  </si>
  <si>
    <t>01-01-2025 00:00:00</t>
  </si>
  <si>
    <t>31028395</t>
  </si>
  <si>
    <t>МКП "Родник"</t>
  </si>
  <si>
    <t>5809003371</t>
  </si>
  <si>
    <t>24-12-2015 00:00:00</t>
  </si>
  <si>
    <t>31649524</t>
  </si>
  <si>
    <t>МКП "Тамалинское ЖКХ"</t>
  </si>
  <si>
    <t>5802006119</t>
  </si>
  <si>
    <t>31833461</t>
  </si>
  <si>
    <t>МКП "ЭКОВАД"</t>
  </si>
  <si>
    <t>5800008216</t>
  </si>
  <si>
    <t>09-10-2025 00:00:00</t>
  </si>
  <si>
    <t>31489285</t>
  </si>
  <si>
    <t>МКП «Сосновское ЖКХ»</t>
  </si>
  <si>
    <t>5809004840</t>
  </si>
  <si>
    <t>31860168</t>
  </si>
  <si>
    <t>МКП Александровского сельсовета Бессоновского района Пензенкой области "Радуга"</t>
  </si>
  <si>
    <t>5800012734</t>
  </si>
  <si>
    <t>31679227</t>
  </si>
  <si>
    <t>МКП ЖКХ</t>
  </si>
  <si>
    <t>5806000750</t>
  </si>
  <si>
    <t>580601001</t>
  </si>
  <si>
    <t>26434637</t>
  </si>
  <si>
    <t>МООО "Исток"</t>
  </si>
  <si>
    <t>5802004464</t>
  </si>
  <si>
    <t>31-07-2025 00:00:00</t>
  </si>
  <si>
    <t>26435304</t>
  </si>
  <si>
    <t>МП "Дельфа"</t>
  </si>
  <si>
    <t>5810006257</t>
  </si>
  <si>
    <t>31860885</t>
  </si>
  <si>
    <t>МУНИЦИПАЛЬНОЕ КАЗЕННОЕ ПРЕДПРИЯТИЕ ПРОКАЗНИНСКОГО СЕЛЬСОВЕТА БЕССОНОВСКОГО РАЙОНА ПЕНЗЕНСКОЙ ОБЛАСТИ "ПЫРКИНСКИЙ ИСТОК"</t>
  </si>
  <si>
    <t>5800012903</t>
  </si>
  <si>
    <t>13-02-2025 00:00:00</t>
  </si>
  <si>
    <t>31500121</t>
  </si>
  <si>
    <t>МУП  «Раздолье»</t>
  </si>
  <si>
    <t>5814901099</t>
  </si>
  <si>
    <t>25-12-2012 00:00:00</t>
  </si>
  <si>
    <t>26439191</t>
  </si>
  <si>
    <t>МУП "Авангард"</t>
  </si>
  <si>
    <t>5810006183</t>
  </si>
  <si>
    <t>06-06-2024 00:00:00</t>
  </si>
  <si>
    <t>26438171</t>
  </si>
  <si>
    <t>МУП "Большевьясское ЖКХ"</t>
  </si>
  <si>
    <t>5821004413</t>
  </si>
  <si>
    <t>26789698</t>
  </si>
  <si>
    <t>МУП "Водоканал"</t>
  </si>
  <si>
    <t>5803020780</t>
  </si>
  <si>
    <t>31651137</t>
  </si>
  <si>
    <t>МУП "Возрождение"</t>
  </si>
  <si>
    <t>5814901116</t>
  </si>
  <si>
    <t>27-12-2012 00:00:00</t>
  </si>
  <si>
    <t>31667051</t>
  </si>
  <si>
    <t>МУП "Дуслык"</t>
  </si>
  <si>
    <t>5812009609</t>
  </si>
  <si>
    <t>12-09-2022 00:00:00</t>
  </si>
  <si>
    <t>27667523</t>
  </si>
  <si>
    <t>МУП "Еланское ЖКХ"</t>
  </si>
  <si>
    <t>5829030550</t>
  </si>
  <si>
    <t>17-12-2024 00:00:00</t>
  </si>
  <si>
    <t>31824665</t>
  </si>
  <si>
    <t>МУП "Елюзань"</t>
  </si>
  <si>
    <t>5800005624</t>
  </si>
  <si>
    <t>26434740</t>
  </si>
  <si>
    <t>МУП "ЖКХ Мочалейское"</t>
  </si>
  <si>
    <t>5802004376</t>
  </si>
  <si>
    <t>26438146</t>
  </si>
  <si>
    <t>МУП "Засурское ЖКХ"</t>
  </si>
  <si>
    <t>5821004389</t>
  </si>
  <si>
    <t>31761600</t>
  </si>
  <si>
    <t>МУП "ИСТОК"</t>
  </si>
  <si>
    <t>5800005769</t>
  </si>
  <si>
    <t>17-06-2024 00:00:00</t>
  </si>
  <si>
    <t>26442181</t>
  </si>
  <si>
    <t>МУП "Каменно-Бродское ЖКХ"</t>
  </si>
  <si>
    <t>5814003031</t>
  </si>
  <si>
    <t>31861870</t>
  </si>
  <si>
    <t>МУП "Канаевский"</t>
  </si>
  <si>
    <t>5812009310</t>
  </si>
  <si>
    <t>28445922</t>
  </si>
  <si>
    <t>МУП "Керенское коммунальное хозяйство"</t>
  </si>
  <si>
    <t>5811901333</t>
  </si>
  <si>
    <t>581101001</t>
  </si>
  <si>
    <t>31824680</t>
  </si>
  <si>
    <t>МУП "Коммунальщик"</t>
  </si>
  <si>
    <t>5800010938</t>
  </si>
  <si>
    <t>31391581</t>
  </si>
  <si>
    <t>МУП "Липовское"</t>
  </si>
  <si>
    <t>5806000020</t>
  </si>
  <si>
    <t>21-08-2024 00:00:00</t>
  </si>
  <si>
    <t>26536467</t>
  </si>
  <si>
    <t>МУП "Наровчатское ЖКХ"</t>
  </si>
  <si>
    <t>5824400729</t>
  </si>
  <si>
    <t>582401001</t>
  </si>
  <si>
    <t>30921749</t>
  </si>
  <si>
    <t>МУП "Неверкинское ЖКХ"</t>
  </si>
  <si>
    <t>5825001903</t>
  </si>
  <si>
    <t>585825010</t>
  </si>
  <si>
    <t>18-07-2024 00:00:00</t>
  </si>
  <si>
    <t>31349173</t>
  </si>
  <si>
    <t>МУП "Новая вода"</t>
  </si>
  <si>
    <t>5812008884</t>
  </si>
  <si>
    <t>28876753</t>
  </si>
  <si>
    <t>МУП "Новошаткинское ЖКХ"</t>
  </si>
  <si>
    <t>5816004672</t>
  </si>
  <si>
    <t>31861900</t>
  </si>
  <si>
    <t>МУП "Новый исток"</t>
  </si>
  <si>
    <t>5812009158</t>
  </si>
  <si>
    <t>28876799</t>
  </si>
  <si>
    <t>МУП "Садовка"</t>
  </si>
  <si>
    <t>5831901324</t>
  </si>
  <si>
    <t>22-11-2024 00:00:00</t>
  </si>
  <si>
    <t>28878199</t>
  </si>
  <si>
    <t>МУП "Сура"</t>
  </si>
  <si>
    <t>5831901250</t>
  </si>
  <si>
    <t>29-01-2014 00:00:00</t>
  </si>
  <si>
    <t>31600963</t>
  </si>
  <si>
    <t>МУП "Чистая вода"</t>
  </si>
  <si>
    <t>5812009038</t>
  </si>
  <si>
    <t>31616632</t>
  </si>
  <si>
    <t>МУП "ЭКО"</t>
  </si>
  <si>
    <t>5812009278</t>
  </si>
  <si>
    <t>28878193</t>
  </si>
  <si>
    <t>МУП ЖКХ "Анучинское"</t>
  </si>
  <si>
    <t>5802006983</t>
  </si>
  <si>
    <t>26-01-2007 00:00:00</t>
  </si>
  <si>
    <t>28269073</t>
  </si>
  <si>
    <t>МУП ЖКХ "Головинщинское"</t>
  </si>
  <si>
    <t>5802003781</t>
  </si>
  <si>
    <t>26434654</t>
  </si>
  <si>
    <t>МУП ЖКХ "Завиваловское"</t>
  </si>
  <si>
    <t>5802003799</t>
  </si>
  <si>
    <t>26434915</t>
  </si>
  <si>
    <t>МУП ЖКХ "Казано-Арчадинское"</t>
  </si>
  <si>
    <t>5802006863</t>
  </si>
  <si>
    <t>26434686</t>
  </si>
  <si>
    <t>МУП ЖКХ "Калининское"</t>
  </si>
  <si>
    <t>5802003510</t>
  </si>
  <si>
    <t>26434704</t>
  </si>
  <si>
    <t>МУП ЖКХ "Кевденское"</t>
  </si>
  <si>
    <t>5802004640</t>
  </si>
  <si>
    <t>26434715</t>
  </si>
  <si>
    <t>МУП ЖКХ "Кочалейское"</t>
  </si>
  <si>
    <t>5802005740</t>
  </si>
  <si>
    <t>26434935</t>
  </si>
  <si>
    <t>МУП ЖКХ "Междуреченское"</t>
  </si>
  <si>
    <t>5802003809</t>
  </si>
  <si>
    <t>05-02-2024 00:00:00</t>
  </si>
  <si>
    <t>28005244</t>
  </si>
  <si>
    <t>5822003765</t>
  </si>
  <si>
    <t>582201001</t>
  </si>
  <si>
    <t>26434947</t>
  </si>
  <si>
    <t>МУП ЖКХ "Фёдоровское"</t>
  </si>
  <si>
    <t>5802004182</t>
  </si>
  <si>
    <t>26434941</t>
  </si>
  <si>
    <t>МУП ЖКХ Первомайское</t>
  </si>
  <si>
    <t>5802003848</t>
  </si>
  <si>
    <t>28535019</t>
  </si>
  <si>
    <t>МУП ЖКХ Рощинского сельсовета</t>
  </si>
  <si>
    <t>5805008675</t>
  </si>
  <si>
    <t>31290780</t>
  </si>
  <si>
    <t>НПС "Кузнецк" ПРУ АО "Транснефть - Дружба"</t>
  </si>
  <si>
    <t>580302001</t>
  </si>
  <si>
    <t>27567516</t>
  </si>
  <si>
    <t>ОАО "Земетчинский механический завод"</t>
  </si>
  <si>
    <t>5813000510</t>
  </si>
  <si>
    <t>26766412</t>
  </si>
  <si>
    <t>ОДО "Каменские водопроводные сети"</t>
  </si>
  <si>
    <t>5802008148</t>
  </si>
  <si>
    <t>28269065</t>
  </si>
  <si>
    <t>ООО "Абашево"</t>
  </si>
  <si>
    <t>5807901161</t>
  </si>
  <si>
    <t>28045210</t>
  </si>
  <si>
    <t>ООО "Агросервис"</t>
  </si>
  <si>
    <t>5831003031</t>
  </si>
  <si>
    <t>28876759</t>
  </si>
  <si>
    <t>ООО "Аква Сервис"</t>
  </si>
  <si>
    <t>5803024625</t>
  </si>
  <si>
    <t>26438334</t>
  </si>
  <si>
    <t>ООО "Аква"</t>
  </si>
  <si>
    <t>5833004270</t>
  </si>
  <si>
    <t>31307120</t>
  </si>
  <si>
    <t>ООО "Аквадар"</t>
  </si>
  <si>
    <t>5814003465</t>
  </si>
  <si>
    <t>25-05-2018 00:00:00</t>
  </si>
  <si>
    <t>30934634</t>
  </si>
  <si>
    <t>ООО "Альбатрос"</t>
  </si>
  <si>
    <t>5836616507</t>
  </si>
  <si>
    <t>31275790</t>
  </si>
  <si>
    <t>ООО "Байкал"</t>
  </si>
  <si>
    <t>5836682059</t>
  </si>
  <si>
    <t>17-04-2017 00:00:00</t>
  </si>
  <si>
    <t>31-01-2025 00:00:00</t>
  </si>
  <si>
    <t>31669179</t>
  </si>
  <si>
    <t>ООО "ВОДОЛЕЙ"</t>
  </si>
  <si>
    <t>5803031414</t>
  </si>
  <si>
    <t>26430817</t>
  </si>
  <si>
    <t>5810006176</t>
  </si>
  <si>
    <t>26435770</t>
  </si>
  <si>
    <t>5813004762</t>
  </si>
  <si>
    <t>31820183</t>
  </si>
  <si>
    <t>ООО "Водоснаб"</t>
  </si>
  <si>
    <t>5800002133</t>
  </si>
  <si>
    <t>26767248</t>
  </si>
  <si>
    <t>5806901578</t>
  </si>
  <si>
    <t>30366432</t>
  </si>
  <si>
    <t>5827000020</t>
  </si>
  <si>
    <t>28876779</t>
  </si>
  <si>
    <t>ООО "Восток"</t>
  </si>
  <si>
    <t>5826107846</t>
  </si>
  <si>
    <t>26430663</t>
  </si>
  <si>
    <t>ООО "Горводоканал"</t>
  </si>
  <si>
    <t>5836623790</t>
  </si>
  <si>
    <t>26431654</t>
  </si>
  <si>
    <t>ООО "Городищеводснаб"</t>
  </si>
  <si>
    <t>5812007545</t>
  </si>
  <si>
    <t>30407372</t>
  </si>
  <si>
    <t>ООО "Жилищно-Коммунальное Хозяйство"</t>
  </si>
  <si>
    <t>5833006327</t>
  </si>
  <si>
    <t>26789723</t>
  </si>
  <si>
    <t>ООО "Исток"</t>
  </si>
  <si>
    <t>5808005224</t>
  </si>
  <si>
    <t>31684221</t>
  </si>
  <si>
    <t>ООО "Исток.РУ"</t>
  </si>
  <si>
    <t>5812008468</t>
  </si>
  <si>
    <t>26551424</t>
  </si>
  <si>
    <t>ООО "Кристалл один"</t>
  </si>
  <si>
    <t>5823350401</t>
  </si>
  <si>
    <t>30840589</t>
  </si>
  <si>
    <t>ООО "Кувак-Никольский родник"</t>
  </si>
  <si>
    <t>5827902269</t>
  </si>
  <si>
    <t>14-08-2025 00:00:00</t>
  </si>
  <si>
    <t>26774905</t>
  </si>
  <si>
    <t>ООО "Кургановский"</t>
  </si>
  <si>
    <t>5802007289</t>
  </si>
  <si>
    <t>28535029</t>
  </si>
  <si>
    <t>ООО "Лунинское"</t>
  </si>
  <si>
    <t>5821901371</t>
  </si>
  <si>
    <t>22-07-2025 00:00:00</t>
  </si>
  <si>
    <t>26432353</t>
  </si>
  <si>
    <t>ООО "Партнер-Сервис"</t>
  </si>
  <si>
    <t>5808004164</t>
  </si>
  <si>
    <t>28076087</t>
  </si>
  <si>
    <t>ООО "Пензастрой-сервис"</t>
  </si>
  <si>
    <t>5836627918</t>
  </si>
  <si>
    <t>28876765</t>
  </si>
  <si>
    <t>ООО "Погодки"</t>
  </si>
  <si>
    <t>5803004330</t>
  </si>
  <si>
    <t>26789711</t>
  </si>
  <si>
    <t>ООО "Родина"</t>
  </si>
  <si>
    <t>5824002830</t>
  </si>
  <si>
    <t>28463738</t>
  </si>
  <si>
    <t>ООО "Родник"</t>
  </si>
  <si>
    <t>5812902107</t>
  </si>
  <si>
    <t>26438355</t>
  </si>
  <si>
    <t>5833004288</t>
  </si>
  <si>
    <t>26432419</t>
  </si>
  <si>
    <t>ООО "Росич"</t>
  </si>
  <si>
    <t>5823007385</t>
  </si>
  <si>
    <t>28876723</t>
  </si>
  <si>
    <t>ООО "Свой дом"</t>
  </si>
  <si>
    <t>5836646685</t>
  </si>
  <si>
    <t>28456711</t>
  </si>
  <si>
    <t>ООО "Силвер"</t>
  </si>
  <si>
    <t>5823351726</t>
  </si>
  <si>
    <t>26435416</t>
  </si>
  <si>
    <t>ООО "Сосновское ЖКХ"</t>
  </si>
  <si>
    <t>5809126648</t>
  </si>
  <si>
    <t>31564206</t>
  </si>
  <si>
    <t>ООО "Спасск"</t>
  </si>
  <si>
    <t>5827001970</t>
  </si>
  <si>
    <t>01-01-2022 00:00:00</t>
  </si>
  <si>
    <t>31065058</t>
  </si>
  <si>
    <t>ООО "Спектр"</t>
  </si>
  <si>
    <t>5827902124</t>
  </si>
  <si>
    <t>26442202</t>
  </si>
  <si>
    <t>ООО "Труд"</t>
  </si>
  <si>
    <t>5826105782</t>
  </si>
  <si>
    <t>28534975</t>
  </si>
  <si>
    <t>ООО "УК "Степановское ЖКХ"</t>
  </si>
  <si>
    <t>5809901079</t>
  </si>
  <si>
    <t>31065802</t>
  </si>
  <si>
    <t>ООО "Услуга"</t>
  </si>
  <si>
    <t>5832005779</t>
  </si>
  <si>
    <t>583201001</t>
  </si>
  <si>
    <t>30852617</t>
  </si>
  <si>
    <t>ООО УК "Перспектива"</t>
  </si>
  <si>
    <t>5836660658</t>
  </si>
  <si>
    <t>28-03-2014 00:00:00</t>
  </si>
  <si>
    <t>26789713</t>
  </si>
  <si>
    <t>ПОК "Услуги"</t>
  </si>
  <si>
    <t>5826106708</t>
  </si>
  <si>
    <t>31290525</t>
  </si>
  <si>
    <t>ПРУ НПС "Ростовка" Филиал "Транснефть-Дружба"</t>
  </si>
  <si>
    <t>580232001</t>
  </si>
  <si>
    <t>26438285</t>
  </si>
  <si>
    <t>СОПК "Волна"</t>
  </si>
  <si>
    <t>5833005605</t>
  </si>
  <si>
    <t>27667492</t>
  </si>
  <si>
    <t>СОПК "СУ"</t>
  </si>
  <si>
    <t>5820004114</t>
  </si>
  <si>
    <t>582001001</t>
  </si>
  <si>
    <t>27577651</t>
  </si>
  <si>
    <t>СПК "Петровский"</t>
  </si>
  <si>
    <t>5806002877</t>
  </si>
  <si>
    <t>27667426</t>
  </si>
  <si>
    <t>СПК "Пыркинский"</t>
  </si>
  <si>
    <t>5809262030</t>
  </si>
  <si>
    <t>26774899</t>
  </si>
  <si>
    <t>СПК "Рассвет"</t>
  </si>
  <si>
    <t>5824000488</t>
  </si>
  <si>
    <t>27667562</t>
  </si>
  <si>
    <t>СПОК "Армиевский"</t>
  </si>
  <si>
    <t>5833005588</t>
  </si>
  <si>
    <t>31225822</t>
  </si>
  <si>
    <t>СПОК "ДУслык"</t>
  </si>
  <si>
    <t>5812000162</t>
  </si>
  <si>
    <t>31398203</t>
  </si>
  <si>
    <t>СПОК "Дигилевка"</t>
  </si>
  <si>
    <t>5812902690</t>
  </si>
  <si>
    <t>27667418</t>
  </si>
  <si>
    <t>СПОК "Исток"</t>
  </si>
  <si>
    <t>5810007719</t>
  </si>
  <si>
    <t>27667520</t>
  </si>
  <si>
    <t>СПОК "Источник"</t>
  </si>
  <si>
    <t>5822003596</t>
  </si>
  <si>
    <t>30365747</t>
  </si>
  <si>
    <t>СПОК "Ласкор"</t>
  </si>
  <si>
    <t>5813901201</t>
  </si>
  <si>
    <t>11-03-2024 00:00:00</t>
  </si>
  <si>
    <t>28076511</t>
  </si>
  <si>
    <t>СПОК "Помощник"</t>
  </si>
  <si>
    <t>5816004432</t>
  </si>
  <si>
    <t>28462746</t>
  </si>
  <si>
    <t>СПОК "Родничок"</t>
  </si>
  <si>
    <t>5823351170</t>
  </si>
  <si>
    <t>27667449</t>
  </si>
  <si>
    <t>СПОК "Содружество"</t>
  </si>
  <si>
    <t>5817006217</t>
  </si>
  <si>
    <t>27667504</t>
  </si>
  <si>
    <t>СПОК "Чистая вода"</t>
  </si>
  <si>
    <t>5822003758</t>
  </si>
  <si>
    <t>31769218</t>
  </si>
  <si>
    <t>СПОК «Большеижморский»</t>
  </si>
  <si>
    <t>5813000729</t>
  </si>
  <si>
    <t>31279582</t>
  </si>
  <si>
    <t>СПОК Сервис</t>
  </si>
  <si>
    <t>5812008073</t>
  </si>
  <si>
    <t>26534955</t>
  </si>
  <si>
    <t>СПОСК "Исток"</t>
  </si>
  <si>
    <t>5813005004</t>
  </si>
  <si>
    <t>26534968</t>
  </si>
  <si>
    <t>СПОСК "Юрсово"</t>
  </si>
  <si>
    <t>5813004995</t>
  </si>
  <si>
    <t>28043633</t>
  </si>
  <si>
    <t>Управление ЖКХ ООО "Управляющая компания"</t>
  </si>
  <si>
    <t>5817005206</t>
  </si>
  <si>
    <t>28462713</t>
  </si>
  <si>
    <t>ФГКУ комбинат "Утес" Росрезерва г.Пензы</t>
  </si>
  <si>
    <t>5834004869</t>
  </si>
  <si>
    <t>28490975</t>
  </si>
  <si>
    <t>ФКУ ИК-8</t>
  </si>
  <si>
    <t>5834017297</t>
  </si>
  <si>
    <t>15-02-2024 00:00:00</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</si>
  <si>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</si>
  <si>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</si>
  <si>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</si>
  <si>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26526460</t>
  </si>
  <si>
    <t>Юго-Восточная дирекция по энергообеспечению структурное подразделение Трансэнерго - филиала  ОАО "РЖД"</t>
  </si>
  <si>
    <t>366645006</t>
  </si>
  <si>
    <t>28876791</t>
  </si>
  <si>
    <t>ГАУСО ПО "Грабовский психоневрологический интернат"</t>
  </si>
  <si>
    <t>5809012778</t>
  </si>
  <si>
    <t>31839173</t>
  </si>
  <si>
    <t>МУП "Водоотведение"</t>
  </si>
  <si>
    <t>5812009817</t>
  </si>
  <si>
    <t>26766426</t>
  </si>
  <si>
    <t>ОДО "Сети водоотведения города Каменки"</t>
  </si>
  <si>
    <t>5802008155</t>
  </si>
  <si>
    <t>31737706</t>
  </si>
  <si>
    <t>ООО "Виола"</t>
  </si>
  <si>
    <t>5838041974</t>
  </si>
  <si>
    <t>31226364</t>
  </si>
  <si>
    <t>ООО "КоммуналСервис"</t>
  </si>
  <si>
    <t>5802003936</t>
  </si>
  <si>
    <t>31391718</t>
  </si>
  <si>
    <t>ООО "НГМА"</t>
  </si>
  <si>
    <t>7702381871</t>
  </si>
  <si>
    <t>773101001</t>
  </si>
  <si>
    <t>30365579</t>
  </si>
  <si>
    <t>ООО "Очистные сооружения"</t>
  </si>
  <si>
    <t>5812902770</t>
  </si>
  <si>
    <t>11-12-2014 00:00:00</t>
  </si>
  <si>
    <t>24-06-2024 00:00:00</t>
  </si>
  <si>
    <t>28054451</t>
  </si>
  <si>
    <t>5823901120</t>
  </si>
  <si>
    <t>28876734</t>
  </si>
  <si>
    <t>ООО "Пензапродкомбинат"</t>
  </si>
  <si>
    <t>5837018732</t>
  </si>
  <si>
    <t>27577727</t>
  </si>
  <si>
    <t>ООО "Радикс"</t>
  </si>
  <si>
    <t>5823350313</t>
  </si>
  <si>
    <t>26319949</t>
  </si>
  <si>
    <t>ПАО "Биосинтез"</t>
  </si>
  <si>
    <t>5834001025</t>
  </si>
  <si>
    <t>31760047</t>
  </si>
  <si>
    <t>МАУ "ЦРП"</t>
  </si>
  <si>
    <t>5800006321</t>
  </si>
  <si>
    <t>02-07-2024 00:00:00</t>
  </si>
  <si>
    <t>28076049</t>
  </si>
  <si>
    <t>МУП "Центр развития предпринимательства Бековского района"</t>
  </si>
  <si>
    <t>5808003805</t>
  </si>
  <si>
    <t>31231863</t>
  </si>
  <si>
    <t>ООО "Вторма +"</t>
  </si>
  <si>
    <t>5805012368</t>
  </si>
  <si>
    <t>27568421</t>
  </si>
  <si>
    <t>ООО "Земетчинодорсервис"</t>
  </si>
  <si>
    <t>5813003991</t>
  </si>
  <si>
    <t>31720580</t>
  </si>
  <si>
    <t>ООО "МУП ЖКХ"</t>
  </si>
  <si>
    <t>5827011544</t>
  </si>
  <si>
    <t>31491972</t>
  </si>
  <si>
    <t>ООО "Маг Груп Пенза"</t>
  </si>
  <si>
    <t>5837069889</t>
  </si>
  <si>
    <t>31614855</t>
  </si>
  <si>
    <t>ООО "Мехуборка-Пенза"</t>
  </si>
  <si>
    <t>5836689914</t>
  </si>
  <si>
    <t>01-09-2022 00:00:00</t>
  </si>
  <si>
    <t>31311904</t>
  </si>
  <si>
    <t>ООО "Полигон ТКО "Симанки"</t>
  </si>
  <si>
    <t>5814003458</t>
  </si>
  <si>
    <t>31230643</t>
  </si>
  <si>
    <t>ООО "УБО"</t>
  </si>
  <si>
    <t>5837044683</t>
  </si>
  <si>
    <t>08-10-2010 00:00:00</t>
  </si>
  <si>
    <t>31695420</t>
  </si>
  <si>
    <t>ООО "Чистый город"</t>
  </si>
  <si>
    <t>5837038471</t>
  </si>
  <si>
    <t>31695439</t>
  </si>
  <si>
    <t>ООО "ЭКОГРАД"</t>
  </si>
  <si>
    <t>5260317506</t>
  </si>
  <si>
    <t>26430114</t>
  </si>
  <si>
    <t>ООО "Экосервис"</t>
  </si>
  <si>
    <t>5803014289</t>
  </si>
  <si>
    <t>31444894</t>
  </si>
  <si>
    <t>ООО «Каменское ЖКХ»</t>
  </si>
  <si>
    <t>5802005838</t>
  </si>
  <si>
    <t>31467920</t>
  </si>
  <si>
    <t>ООО ГК «Пензавторсырье»</t>
  </si>
  <si>
    <t>5834061056</t>
  </si>
  <si>
    <t>31174967</t>
  </si>
  <si>
    <t>ООО"ЭКОПРОМ"</t>
  </si>
  <si>
    <t>5263049020</t>
  </si>
  <si>
    <t>526301001</t>
  </si>
  <si>
    <t>31262524</t>
  </si>
  <si>
    <t>Филиал ООО «Экопром»</t>
  </si>
  <si>
    <t>580343001</t>
  </si>
  <si>
    <t>NSRF</t>
  </si>
  <si>
    <t>MR_NAME</t>
  </si>
  <si>
    <t>OKTMO_MR_NAME</t>
  </si>
  <si>
    <t>MO_NAME</t>
  </si>
  <si>
    <t>OKTMO_NAME</t>
  </si>
  <si>
    <t>TYPE</t>
  </si>
  <si>
    <t>MR_ID</t>
  </si>
  <si>
    <t>Башмаковский муниципальный район</t>
  </si>
  <si>
    <t>56603000</t>
  </si>
  <si>
    <t>Алексеевское</t>
  </si>
  <si>
    <t>56603402</t>
  </si>
  <si>
    <t>сельское поселение</t>
  </si>
  <si>
    <t>муниципальный район</t>
  </si>
  <si>
    <t>Бояровское</t>
  </si>
  <si>
    <t>56603404</t>
  </si>
  <si>
    <t>Высокинское</t>
  </si>
  <si>
    <t>56603407</t>
  </si>
  <si>
    <t>Знаменское</t>
  </si>
  <si>
    <t>56603410</t>
  </si>
  <si>
    <t>Кандиевское</t>
  </si>
  <si>
    <t>56603413</t>
  </si>
  <si>
    <t>Липовское</t>
  </si>
  <si>
    <t>56603416</t>
  </si>
  <si>
    <t>Подгорнское</t>
  </si>
  <si>
    <t>56603419</t>
  </si>
  <si>
    <t>Поселок Башмаково</t>
  </si>
  <si>
    <t>56603151</t>
  </si>
  <si>
    <t>городское поселение, в состав которого входит поселок</t>
  </si>
  <si>
    <t>Соседское</t>
  </si>
  <si>
    <t>56603425</t>
  </si>
  <si>
    <t>Троицкое</t>
  </si>
  <si>
    <t>56603434</t>
  </si>
  <si>
    <t>Шереметьевское</t>
  </si>
  <si>
    <t>56603437</t>
  </si>
  <si>
    <t>Бековский муниципальный район</t>
  </si>
  <si>
    <t>56609000</t>
  </si>
  <si>
    <t>Вертуновское</t>
  </si>
  <si>
    <t>56609402</t>
  </si>
  <si>
    <t>Волынщинское</t>
  </si>
  <si>
    <t>56609404</t>
  </si>
  <si>
    <t>Ивановское</t>
  </si>
  <si>
    <t>56609407</t>
  </si>
  <si>
    <t>Миткирейское</t>
  </si>
  <si>
    <t>56609413</t>
  </si>
  <si>
    <t>Мошковское</t>
  </si>
  <si>
    <t>56609416</t>
  </si>
  <si>
    <t>Поселок Беково</t>
  </si>
  <si>
    <t>56609151</t>
  </si>
  <si>
    <t>Пяшинское</t>
  </si>
  <si>
    <t>56609422</t>
  </si>
  <si>
    <t>Сосновское</t>
  </si>
  <si>
    <t>56609425</t>
  </si>
  <si>
    <t>Яковлевское</t>
  </si>
  <si>
    <t>56609440</t>
  </si>
  <si>
    <t>Белинский муниципальный район</t>
  </si>
  <si>
    <t>56612000</t>
  </si>
  <si>
    <t>Балкашинское</t>
  </si>
  <si>
    <t>56612403</t>
  </si>
  <si>
    <t>Волчковское</t>
  </si>
  <si>
    <t>56612406</t>
  </si>
  <si>
    <t>Город Белинский</t>
  </si>
  <si>
    <t>56612101</t>
  </si>
  <si>
    <t>городское поселение, в состав которого входит город</t>
  </si>
  <si>
    <t>Камынинское</t>
  </si>
  <si>
    <t>56612408</t>
  </si>
  <si>
    <t>Козловское</t>
  </si>
  <si>
    <t>56612412</t>
  </si>
  <si>
    <t>Кутеевское</t>
  </si>
  <si>
    <t>56612416</t>
  </si>
  <si>
    <t>Лермонтовское</t>
  </si>
  <si>
    <t>56612419</t>
  </si>
  <si>
    <t>Невежкинское</t>
  </si>
  <si>
    <t>56612422</t>
  </si>
  <si>
    <t>Поимское</t>
  </si>
  <si>
    <t>56612425</t>
  </si>
  <si>
    <t>Пушанинское</t>
  </si>
  <si>
    <t>56612428</t>
  </si>
  <si>
    <t>Студенское</t>
  </si>
  <si>
    <t>56612434</t>
  </si>
  <si>
    <t>Бессоновский муниципальный район</t>
  </si>
  <si>
    <t>56613000</t>
  </si>
  <si>
    <t>Александровское</t>
  </si>
  <si>
    <t>56613402</t>
  </si>
  <si>
    <t>Бессоновское</t>
  </si>
  <si>
    <t>56613404</t>
  </si>
  <si>
    <t>Вазерское</t>
  </si>
  <si>
    <t>56613406</t>
  </si>
  <si>
    <t>Грабовское</t>
  </si>
  <si>
    <t>56613408</t>
  </si>
  <si>
    <t>Кижеватовское</t>
  </si>
  <si>
    <t>56613413</t>
  </si>
  <si>
    <t>Полеологовское</t>
  </si>
  <si>
    <t>56613420</t>
  </si>
  <si>
    <t>Проказнинское</t>
  </si>
  <si>
    <t>56613422</t>
  </si>
  <si>
    <t>56613425</t>
  </si>
  <si>
    <t>Степановское</t>
  </si>
  <si>
    <t>56613427</t>
  </si>
  <si>
    <t>Чемодановское</t>
  </si>
  <si>
    <t>56613430</t>
  </si>
  <si>
    <t>Вадинский муниципальный район</t>
  </si>
  <si>
    <t>56615000</t>
  </si>
  <si>
    <t>Большелукинское</t>
  </si>
  <si>
    <t>56615402</t>
  </si>
  <si>
    <t>Вадинское</t>
  </si>
  <si>
    <t>56615404</t>
  </si>
  <si>
    <t>Каргалейское</t>
  </si>
  <si>
    <t>56615410</t>
  </si>
  <si>
    <t>Рахмановское</t>
  </si>
  <si>
    <t>56615422</t>
  </si>
  <si>
    <t>Серго-Поливановское</t>
  </si>
  <si>
    <t>56615428</t>
  </si>
  <si>
    <t>Татаро-Лакинское</t>
  </si>
  <si>
    <t>56615431</t>
  </si>
  <si>
    <t>Ягановское</t>
  </si>
  <si>
    <t>56615434</t>
  </si>
  <si>
    <t>Городищенский муниципальный район</t>
  </si>
  <si>
    <t>56618000</t>
  </si>
  <si>
    <t>Архангельское</t>
  </si>
  <si>
    <t>56618402</t>
  </si>
  <si>
    <t>Верхнеелюзанское</t>
  </si>
  <si>
    <t>56618403</t>
  </si>
  <si>
    <t>Верхнешкафтинское</t>
  </si>
  <si>
    <t>56618404</t>
  </si>
  <si>
    <t>Город Городище</t>
  </si>
  <si>
    <t>56618101</t>
  </si>
  <si>
    <t>Город Сурск</t>
  </si>
  <si>
    <t>56618108</t>
  </si>
  <si>
    <t>Дигилевское</t>
  </si>
  <si>
    <t>56618410</t>
  </si>
  <si>
    <t>60</t>
  </si>
  <si>
    <t>Канаевское</t>
  </si>
  <si>
    <t>56618413</t>
  </si>
  <si>
    <t>61</t>
  </si>
  <si>
    <t>Нижнеелюзанское</t>
  </si>
  <si>
    <t>56618423</t>
  </si>
  <si>
    <t>62</t>
  </si>
  <si>
    <t>Павло-Куракинское</t>
  </si>
  <si>
    <t>56618428</t>
  </si>
  <si>
    <t>63</t>
  </si>
  <si>
    <t>Поселок Чаадаевка</t>
  </si>
  <si>
    <t>56618155</t>
  </si>
  <si>
    <t>64</t>
  </si>
  <si>
    <t>Русско-Ишимское</t>
  </si>
  <si>
    <t>56618431</t>
  </si>
  <si>
    <t>65</t>
  </si>
  <si>
    <t>Среднеелюзанское</t>
  </si>
  <si>
    <t>56618434</t>
  </si>
  <si>
    <t>Турдакское</t>
  </si>
  <si>
    <t>56618440</t>
  </si>
  <si>
    <t>67</t>
  </si>
  <si>
    <t>Чаадаевское</t>
  </si>
  <si>
    <t>56618443</t>
  </si>
  <si>
    <t>Юловское</t>
  </si>
  <si>
    <t>56618446</t>
  </si>
  <si>
    <t>69</t>
  </si>
  <si>
    <t>ЗАТО город Заречный</t>
  </si>
  <si>
    <t>56734000</t>
  </si>
  <si>
    <t>городской округ</t>
  </si>
  <si>
    <t>70</t>
  </si>
  <si>
    <t>Земетчинский муниципальный район</t>
  </si>
  <si>
    <t>56623000</t>
  </si>
  <si>
    <t>Большеижморское</t>
  </si>
  <si>
    <t>56623402</t>
  </si>
  <si>
    <t>71</t>
  </si>
  <si>
    <t>72</t>
  </si>
  <si>
    <t>Кирилловское</t>
  </si>
  <si>
    <t>56623410</t>
  </si>
  <si>
    <t>73</t>
  </si>
  <si>
    <t>Краснодубравское</t>
  </si>
  <si>
    <t>56623411</t>
  </si>
  <si>
    <t>74</t>
  </si>
  <si>
    <t>Матчерское</t>
  </si>
  <si>
    <t>56623413</t>
  </si>
  <si>
    <t>75</t>
  </si>
  <si>
    <t>Морсовское</t>
  </si>
  <si>
    <t>56623416</t>
  </si>
  <si>
    <t>76</t>
  </si>
  <si>
    <t>Поселок Земетчино</t>
  </si>
  <si>
    <t>56623151</t>
  </si>
  <si>
    <t>77</t>
  </si>
  <si>
    <t>Пролетарское</t>
  </si>
  <si>
    <t>56623407</t>
  </si>
  <si>
    <t>78</t>
  </si>
  <si>
    <t>Раевское</t>
  </si>
  <si>
    <t>56623422</t>
  </si>
  <si>
    <t>79</t>
  </si>
  <si>
    <t>Салтыковское</t>
  </si>
  <si>
    <t>56623428</t>
  </si>
  <si>
    <t>80</t>
  </si>
  <si>
    <t>Ушинское</t>
  </si>
  <si>
    <t>56623434</t>
  </si>
  <si>
    <t>81</t>
  </si>
  <si>
    <t>Юрсовское</t>
  </si>
  <si>
    <t>56623440</t>
  </si>
  <si>
    <t>82</t>
  </si>
  <si>
    <t>Иссинский муниципальный район</t>
  </si>
  <si>
    <t>56626000</t>
  </si>
  <si>
    <t>Булычевское</t>
  </si>
  <si>
    <t>56626402</t>
  </si>
  <si>
    <t>83</t>
  </si>
  <si>
    <t>Знаменско-Пестровское</t>
  </si>
  <si>
    <t>56626407</t>
  </si>
  <si>
    <t>84</t>
  </si>
  <si>
    <t>85</t>
  </si>
  <si>
    <t>Каменно-Бродское</t>
  </si>
  <si>
    <t>56626413</t>
  </si>
  <si>
    <t>86</t>
  </si>
  <si>
    <t>Поселок Исса</t>
  </si>
  <si>
    <t>56626151</t>
  </si>
  <si>
    <t>87</t>
  </si>
  <si>
    <t>Соловцовское</t>
  </si>
  <si>
    <t>56626419</t>
  </si>
  <si>
    <t>88</t>
  </si>
  <si>
    <t>Уваровское</t>
  </si>
  <si>
    <t>56626422</t>
  </si>
  <si>
    <t>89</t>
  </si>
  <si>
    <t>Каменский муниципальный район</t>
  </si>
  <si>
    <t>56629000</t>
  </si>
  <si>
    <t>Анучинское</t>
  </si>
  <si>
    <t>56629404</t>
  </si>
  <si>
    <t>90</t>
  </si>
  <si>
    <t>Владыкинское</t>
  </si>
  <si>
    <t>56629410</t>
  </si>
  <si>
    <t>91</t>
  </si>
  <si>
    <t>Головинщинское</t>
  </si>
  <si>
    <t>56629413</t>
  </si>
  <si>
    <t>92</t>
  </si>
  <si>
    <t>Город Каменка</t>
  </si>
  <si>
    <t>56629101</t>
  </si>
  <si>
    <t>93</t>
  </si>
  <si>
    <t>94</t>
  </si>
  <si>
    <t>Каменское</t>
  </si>
  <si>
    <t>56629425</t>
  </si>
  <si>
    <t>95</t>
  </si>
  <si>
    <t>Кевдо-Мельситовское</t>
  </si>
  <si>
    <t>56629428</t>
  </si>
  <si>
    <t>96</t>
  </si>
  <si>
    <t>Кикинское</t>
  </si>
  <si>
    <t>56629429</t>
  </si>
  <si>
    <t>97</t>
  </si>
  <si>
    <t>Кобылкинское</t>
  </si>
  <si>
    <t>56629431</t>
  </si>
  <si>
    <t>98</t>
  </si>
  <si>
    <t>Междуреченское</t>
  </si>
  <si>
    <t>56629434</t>
  </si>
  <si>
    <t>99</t>
  </si>
  <si>
    <t>Первомайское</t>
  </si>
  <si>
    <t>56629439</t>
  </si>
  <si>
    <t>100</t>
  </si>
  <si>
    <t>Покрово-Арчадинское</t>
  </si>
  <si>
    <t>56629440</t>
  </si>
  <si>
    <t>101</t>
  </si>
  <si>
    <t>Федоровское</t>
  </si>
  <si>
    <t>56629443</t>
  </si>
  <si>
    <t>102</t>
  </si>
  <si>
    <t>Камешкирский муниципальный район</t>
  </si>
  <si>
    <t>56631000</t>
  </si>
  <si>
    <t>Большеумысское</t>
  </si>
  <si>
    <t>56631404</t>
  </si>
  <si>
    <t>103</t>
  </si>
  <si>
    <t>104</t>
  </si>
  <si>
    <t>Лапшовское</t>
  </si>
  <si>
    <t>56631410</t>
  </si>
  <si>
    <t>105</t>
  </si>
  <si>
    <t>Новошаткинское</t>
  </si>
  <si>
    <t>56631416</t>
  </si>
  <si>
    <t>106</t>
  </si>
  <si>
    <t>Пестровское</t>
  </si>
  <si>
    <t>56631419</t>
  </si>
  <si>
    <t>107</t>
  </si>
  <si>
    <t>Русско-Камешкирское</t>
  </si>
  <si>
    <t>56631425</t>
  </si>
  <si>
    <t>108</t>
  </si>
  <si>
    <t>Чумаевское</t>
  </si>
  <si>
    <t>56631431</t>
  </si>
  <si>
    <t>109</t>
  </si>
  <si>
    <t>Колышлейский муниципальный район</t>
  </si>
  <si>
    <t>56633000</t>
  </si>
  <si>
    <t>Березовское</t>
  </si>
  <si>
    <t>56633402</t>
  </si>
  <si>
    <t>110</t>
  </si>
  <si>
    <t>111</t>
  </si>
  <si>
    <t>Лачиновское</t>
  </si>
  <si>
    <t>56633413</t>
  </si>
  <si>
    <t>112</t>
  </si>
  <si>
    <t>Названовское</t>
  </si>
  <si>
    <t>56633415</t>
  </si>
  <si>
    <t>113</t>
  </si>
  <si>
    <t>Плещеевское</t>
  </si>
  <si>
    <t>56633404</t>
  </si>
  <si>
    <t>114</t>
  </si>
  <si>
    <t>Пограничное</t>
  </si>
  <si>
    <t>56633422</t>
  </si>
  <si>
    <t>115</t>
  </si>
  <si>
    <t>Поселок Колышлей</t>
  </si>
  <si>
    <t>56633151</t>
  </si>
  <si>
    <t>116</t>
  </si>
  <si>
    <t>Потловское</t>
  </si>
  <si>
    <t>56633419</t>
  </si>
  <si>
    <t>117</t>
  </si>
  <si>
    <t>Телегинское</t>
  </si>
  <si>
    <t>56633428</t>
  </si>
  <si>
    <t>118</t>
  </si>
  <si>
    <t>Трескинское</t>
  </si>
  <si>
    <t>56633431</t>
  </si>
  <si>
    <t>119</t>
  </si>
  <si>
    <t>Кузнецкий муниципальный район</t>
  </si>
  <si>
    <t>56640000</t>
  </si>
  <si>
    <t>Анненковское</t>
  </si>
  <si>
    <t>56640402</t>
  </si>
  <si>
    <t>120</t>
  </si>
  <si>
    <t>Большетруевское</t>
  </si>
  <si>
    <t>56640404</t>
  </si>
  <si>
    <t>121</t>
  </si>
  <si>
    <t>Комаровское</t>
  </si>
  <si>
    <t>56640407</t>
  </si>
  <si>
    <t>122</t>
  </si>
  <si>
    <t>123</t>
  </si>
  <si>
    <t>Махалинское</t>
  </si>
  <si>
    <t>56640410</t>
  </si>
  <si>
    <t>124</t>
  </si>
  <si>
    <t>Никольское</t>
  </si>
  <si>
    <t>56640413</t>
  </si>
  <si>
    <t>125</t>
  </si>
  <si>
    <t>Посельское</t>
  </si>
  <si>
    <t>56640416</t>
  </si>
  <si>
    <t>126</t>
  </si>
  <si>
    <t>Сюзюмское</t>
  </si>
  <si>
    <t>56640422</t>
  </si>
  <si>
    <t>127</t>
  </si>
  <si>
    <t>Тарлаковское</t>
  </si>
  <si>
    <t>56640425</t>
  </si>
  <si>
    <t>128</t>
  </si>
  <si>
    <t>Чибирлейское</t>
  </si>
  <si>
    <t>56640429</t>
  </si>
  <si>
    <t>129</t>
  </si>
  <si>
    <t>Явлейское</t>
  </si>
  <si>
    <t>56640430</t>
  </si>
  <si>
    <t>130</t>
  </si>
  <si>
    <t>Яснополянское</t>
  </si>
  <si>
    <t>56640431</t>
  </si>
  <si>
    <t>131</t>
  </si>
  <si>
    <t>поселок Верхозим</t>
  </si>
  <si>
    <t>56640154</t>
  </si>
  <si>
    <t>132</t>
  </si>
  <si>
    <t>поселок Евлашево</t>
  </si>
  <si>
    <t>56640158</t>
  </si>
  <si>
    <t>133</t>
  </si>
  <si>
    <t>Лопатинский муниципальный район</t>
  </si>
  <si>
    <t>56642000</t>
  </si>
  <si>
    <t>Верешимское</t>
  </si>
  <si>
    <t>56642407</t>
  </si>
  <si>
    <t>134</t>
  </si>
  <si>
    <t>Даниловское</t>
  </si>
  <si>
    <t>56642410</t>
  </si>
  <si>
    <t>135</t>
  </si>
  <si>
    <t>Китунькинское</t>
  </si>
  <si>
    <t>56642413</t>
  </si>
  <si>
    <t>136</t>
  </si>
  <si>
    <t>56642416</t>
  </si>
  <si>
    <t>137</t>
  </si>
  <si>
    <t>Комсомольское</t>
  </si>
  <si>
    <t>56642419</t>
  </si>
  <si>
    <t>138</t>
  </si>
  <si>
    <t>139</t>
  </si>
  <si>
    <t>Лопатинское</t>
  </si>
  <si>
    <t>56642422</t>
  </si>
  <si>
    <t>140</t>
  </si>
  <si>
    <t>Пылковское</t>
  </si>
  <si>
    <t>56642425</t>
  </si>
  <si>
    <t>141</t>
  </si>
  <si>
    <t>Старовершаутское</t>
  </si>
  <si>
    <t>56642428</t>
  </si>
  <si>
    <t>142</t>
  </si>
  <si>
    <t>Старокарлыганское</t>
  </si>
  <si>
    <t>56642429</t>
  </si>
  <si>
    <t>143</t>
  </si>
  <si>
    <t>Суляевское</t>
  </si>
  <si>
    <t>56642431</t>
  </si>
  <si>
    <t>144</t>
  </si>
  <si>
    <t>Чардымское</t>
  </si>
  <si>
    <t>56642434</t>
  </si>
  <si>
    <t>145</t>
  </si>
  <si>
    <t>Лунинский муниципальный район</t>
  </si>
  <si>
    <t>56643000</t>
  </si>
  <si>
    <t>Болотниковское</t>
  </si>
  <si>
    <t>56643404</t>
  </si>
  <si>
    <t>146</t>
  </si>
  <si>
    <t>Большевьясское</t>
  </si>
  <si>
    <t>56643407</t>
  </si>
  <si>
    <t>147</t>
  </si>
  <si>
    <t>Засурское</t>
  </si>
  <si>
    <t>56643413</t>
  </si>
  <si>
    <t>148</t>
  </si>
  <si>
    <t>Иванырсинское</t>
  </si>
  <si>
    <t>56643416</t>
  </si>
  <si>
    <t>149</t>
  </si>
  <si>
    <t>Ломовское</t>
  </si>
  <si>
    <t>56643422</t>
  </si>
  <si>
    <t>150</t>
  </si>
  <si>
    <t>151</t>
  </si>
  <si>
    <t>Лунинское</t>
  </si>
  <si>
    <t>56643425</t>
  </si>
  <si>
    <t>152</t>
  </si>
  <si>
    <t>Поселок Лунино</t>
  </si>
  <si>
    <t>56643151</t>
  </si>
  <si>
    <t>153</t>
  </si>
  <si>
    <t>Родниковское</t>
  </si>
  <si>
    <t>56643434</t>
  </si>
  <si>
    <t>154</t>
  </si>
  <si>
    <t>56643437</t>
  </si>
  <si>
    <t>155</t>
  </si>
  <si>
    <t>Сытинское</t>
  </si>
  <si>
    <t>56643440</t>
  </si>
  <si>
    <t>156</t>
  </si>
  <si>
    <t>Малосердобинский муниципальный район</t>
  </si>
  <si>
    <t>56644000</t>
  </si>
  <si>
    <t>Дружаевское</t>
  </si>
  <si>
    <t>56644402</t>
  </si>
  <si>
    <t>157</t>
  </si>
  <si>
    <t>Ключевское</t>
  </si>
  <si>
    <t>56644404</t>
  </si>
  <si>
    <t>158</t>
  </si>
  <si>
    <t>56644406</t>
  </si>
  <si>
    <t>159</t>
  </si>
  <si>
    <t>Майское</t>
  </si>
  <si>
    <t>56644408</t>
  </si>
  <si>
    <t>160</t>
  </si>
  <si>
    <t>161</t>
  </si>
  <si>
    <t>Малосердобинское</t>
  </si>
  <si>
    <t>56644410</t>
  </si>
  <si>
    <t>162</t>
  </si>
  <si>
    <t>Старославскинское</t>
  </si>
  <si>
    <t>56644416</t>
  </si>
  <si>
    <t>163</t>
  </si>
  <si>
    <t>Мокшанский муниципальный район</t>
  </si>
  <si>
    <t>56645000</t>
  </si>
  <si>
    <t>Богородское</t>
  </si>
  <si>
    <t>56645402</t>
  </si>
  <si>
    <t>164</t>
  </si>
  <si>
    <t>Елизаветинское</t>
  </si>
  <si>
    <t>56645405</t>
  </si>
  <si>
    <t>165</t>
  </si>
  <si>
    <t>56645404</t>
  </si>
  <si>
    <t>166</t>
  </si>
  <si>
    <t>167</t>
  </si>
  <si>
    <t>Плесское</t>
  </si>
  <si>
    <t>56645410</t>
  </si>
  <si>
    <t>168</t>
  </si>
  <si>
    <t>Подгорненское</t>
  </si>
  <si>
    <t>56645412</t>
  </si>
  <si>
    <t>169</t>
  </si>
  <si>
    <t>Поселок Мокшан</t>
  </si>
  <si>
    <t>56645151</t>
  </si>
  <si>
    <t>170</t>
  </si>
  <si>
    <t>Рамзайское</t>
  </si>
  <si>
    <t>56645416</t>
  </si>
  <si>
    <t>171</t>
  </si>
  <si>
    <t>Успенское</t>
  </si>
  <si>
    <t>56645419</t>
  </si>
  <si>
    <t>172</t>
  </si>
  <si>
    <t>Царевщинское</t>
  </si>
  <si>
    <t>56645422</t>
  </si>
  <si>
    <t>173</t>
  </si>
  <si>
    <t>Чернозерское</t>
  </si>
  <si>
    <t>56645425</t>
  </si>
  <si>
    <t>174</t>
  </si>
  <si>
    <t>Широкоисское</t>
  </si>
  <si>
    <t>56645427</t>
  </si>
  <si>
    <t>175</t>
  </si>
  <si>
    <t>Юровское</t>
  </si>
  <si>
    <t>56645431</t>
  </si>
  <si>
    <t>176</t>
  </si>
  <si>
    <t>нечаевское</t>
  </si>
  <si>
    <t>56645407</t>
  </si>
  <si>
    <t>177</t>
  </si>
  <si>
    <t>Наровчатский муниципальный район</t>
  </si>
  <si>
    <t>56647000</t>
  </si>
  <si>
    <t>Азарапинское</t>
  </si>
  <si>
    <t>56647401</t>
  </si>
  <si>
    <t>178</t>
  </si>
  <si>
    <t>Большекавендровское</t>
  </si>
  <si>
    <t>56647403</t>
  </si>
  <si>
    <t>179</t>
  </si>
  <si>
    <t>Большекирдяшевское</t>
  </si>
  <si>
    <t>56647404</t>
  </si>
  <si>
    <t>180</t>
  </si>
  <si>
    <t>Большеколоярское</t>
  </si>
  <si>
    <t>56647407</t>
  </si>
  <si>
    <t>181</t>
  </si>
  <si>
    <t>Виляйское</t>
  </si>
  <si>
    <t>56647410</t>
  </si>
  <si>
    <t>182</t>
  </si>
  <si>
    <t>Вьюнское</t>
  </si>
  <si>
    <t>56647413</t>
  </si>
  <si>
    <t>183</t>
  </si>
  <si>
    <t>184</t>
  </si>
  <si>
    <t>Наровчатское</t>
  </si>
  <si>
    <t>56647416</t>
  </si>
  <si>
    <t>185</t>
  </si>
  <si>
    <t>Новопичуринское</t>
  </si>
  <si>
    <t>56647417</t>
  </si>
  <si>
    <t>186</t>
  </si>
  <si>
    <t>Орловское</t>
  </si>
  <si>
    <t>56647419</t>
  </si>
  <si>
    <t>187</t>
  </si>
  <si>
    <t>Плесковское</t>
  </si>
  <si>
    <t>56647422</t>
  </si>
  <si>
    <t>188</t>
  </si>
  <si>
    <t>Потодеевское</t>
  </si>
  <si>
    <t>56647425</t>
  </si>
  <si>
    <t>189</t>
  </si>
  <si>
    <t>Скановское</t>
  </si>
  <si>
    <t>56647402</t>
  </si>
  <si>
    <t>190</t>
  </si>
  <si>
    <t>Суркинское</t>
  </si>
  <si>
    <t>56647428</t>
  </si>
  <si>
    <t>191</t>
  </si>
  <si>
    <t>Неверкинский муниципальный район</t>
  </si>
  <si>
    <t>56649000</t>
  </si>
  <si>
    <t>Алеевское</t>
  </si>
  <si>
    <t>56649402</t>
  </si>
  <si>
    <t>192</t>
  </si>
  <si>
    <t>56649403</t>
  </si>
  <si>
    <t>193</t>
  </si>
  <si>
    <t>Бигеевское</t>
  </si>
  <si>
    <t>56649404</t>
  </si>
  <si>
    <t>194</t>
  </si>
  <si>
    <t>Бикмосеевское</t>
  </si>
  <si>
    <t>56649406</t>
  </si>
  <si>
    <t>195</t>
  </si>
  <si>
    <t>Бикмурзинское</t>
  </si>
  <si>
    <t>56649407</t>
  </si>
  <si>
    <t>196</t>
  </si>
  <si>
    <t>Деминское</t>
  </si>
  <si>
    <t>56649410</t>
  </si>
  <si>
    <t>197</t>
  </si>
  <si>
    <t>Илим-Горское</t>
  </si>
  <si>
    <t>56649411</t>
  </si>
  <si>
    <t>198</t>
  </si>
  <si>
    <t>Исикеевское</t>
  </si>
  <si>
    <t>56649412</t>
  </si>
  <si>
    <t>199</t>
  </si>
  <si>
    <t>Каменноовражское</t>
  </si>
  <si>
    <t>56649415</t>
  </si>
  <si>
    <t>200</t>
  </si>
  <si>
    <t>Карноварское</t>
  </si>
  <si>
    <t>56649416</t>
  </si>
  <si>
    <t>201</t>
  </si>
  <si>
    <t>202</t>
  </si>
  <si>
    <t>Неверкинское</t>
  </si>
  <si>
    <t>56649419</t>
  </si>
  <si>
    <t>203</t>
  </si>
  <si>
    <t>Октябрьское</t>
  </si>
  <si>
    <t>56649422</t>
  </si>
  <si>
    <t>204</t>
  </si>
  <si>
    <t>Планское</t>
  </si>
  <si>
    <t>56649425</t>
  </si>
  <si>
    <t>205</t>
  </si>
  <si>
    <t>Староандреевское</t>
  </si>
  <si>
    <t>56649428</t>
  </si>
  <si>
    <t>206</t>
  </si>
  <si>
    <t>Сулеймановское</t>
  </si>
  <si>
    <t>56649413</t>
  </si>
  <si>
    <t>207</t>
  </si>
  <si>
    <t>Нижнеломовский муниципальный район</t>
  </si>
  <si>
    <t>56651000</t>
  </si>
  <si>
    <t>Атмисское</t>
  </si>
  <si>
    <t>56651404</t>
  </si>
  <si>
    <t>208</t>
  </si>
  <si>
    <t>Большехуторское</t>
  </si>
  <si>
    <t>56651407</t>
  </si>
  <si>
    <t>209</t>
  </si>
  <si>
    <t>Верхнеломовское</t>
  </si>
  <si>
    <t>56651410</t>
  </si>
  <si>
    <t>210</t>
  </si>
  <si>
    <t>Виргинское</t>
  </si>
  <si>
    <t>56651411</t>
  </si>
  <si>
    <t>211</t>
  </si>
  <si>
    <t>Голицынское</t>
  </si>
  <si>
    <t>56651413</t>
  </si>
  <si>
    <t>212</t>
  </si>
  <si>
    <t>Город Нижний Ломов</t>
  </si>
  <si>
    <t>56651101</t>
  </si>
  <si>
    <t>213</t>
  </si>
  <si>
    <t>Кривошеевское</t>
  </si>
  <si>
    <t>56651422</t>
  </si>
  <si>
    <t>214</t>
  </si>
  <si>
    <t>Кувак-Никольское</t>
  </si>
  <si>
    <t>56651419</t>
  </si>
  <si>
    <t>215</t>
  </si>
  <si>
    <t>216</t>
  </si>
  <si>
    <t>Новопятинское</t>
  </si>
  <si>
    <t>56651425</t>
  </si>
  <si>
    <t>217</t>
  </si>
  <si>
    <t>Норовское</t>
  </si>
  <si>
    <t>56651431</t>
  </si>
  <si>
    <t>218</t>
  </si>
  <si>
    <t>Усть-Каремшинское</t>
  </si>
  <si>
    <t>56651437</t>
  </si>
  <si>
    <t>219</t>
  </si>
  <si>
    <t>Никольский муниципальный район</t>
  </si>
  <si>
    <t>56653000</t>
  </si>
  <si>
    <t>Ахматовское</t>
  </si>
  <si>
    <t>56653404</t>
  </si>
  <si>
    <t>220</t>
  </si>
  <si>
    <t>Базарно-Кеньшенское</t>
  </si>
  <si>
    <t>56653407</t>
  </si>
  <si>
    <t>221</t>
  </si>
  <si>
    <t>Город Никольск</t>
  </si>
  <si>
    <t>56653101</t>
  </si>
  <si>
    <t>222</t>
  </si>
  <si>
    <t>Ильминское</t>
  </si>
  <si>
    <t>56653413</t>
  </si>
  <si>
    <t>223</t>
  </si>
  <si>
    <t>Казарское</t>
  </si>
  <si>
    <t>56653416</t>
  </si>
  <si>
    <t>224</t>
  </si>
  <si>
    <t>Карамальское</t>
  </si>
  <si>
    <t>56653419</t>
  </si>
  <si>
    <t>225</t>
  </si>
  <si>
    <t>Керенское</t>
  </si>
  <si>
    <t>56653422</t>
  </si>
  <si>
    <t>226</t>
  </si>
  <si>
    <t>Маисское</t>
  </si>
  <si>
    <t>56653425</t>
  </si>
  <si>
    <t>227</t>
  </si>
  <si>
    <t>Нижнешкафтинское</t>
  </si>
  <si>
    <t>56653428</t>
  </si>
  <si>
    <t>228</t>
  </si>
  <si>
    <t>229</t>
  </si>
  <si>
    <t>Ночкинское</t>
  </si>
  <si>
    <t>56653431</t>
  </si>
  <si>
    <t>230</t>
  </si>
  <si>
    <t>Усовское</t>
  </si>
  <si>
    <t>56653446</t>
  </si>
  <si>
    <t>231</t>
  </si>
  <si>
    <t>поселок Сура</t>
  </si>
  <si>
    <t>56653155</t>
  </si>
  <si>
    <t>232</t>
  </si>
  <si>
    <t>Пачелмский муниципальный район</t>
  </si>
  <si>
    <t>56654000</t>
  </si>
  <si>
    <t>Белынское</t>
  </si>
  <si>
    <t>56654402</t>
  </si>
  <si>
    <t>233</t>
  </si>
  <si>
    <t>Новотолковское</t>
  </si>
  <si>
    <t>56654410</t>
  </si>
  <si>
    <t>234</t>
  </si>
  <si>
    <t>235</t>
  </si>
  <si>
    <t>Поселок Пачелма</t>
  </si>
  <si>
    <t>56654151</t>
  </si>
  <si>
    <t>236</t>
  </si>
  <si>
    <t>Решетинское</t>
  </si>
  <si>
    <t>56654412</t>
  </si>
  <si>
    <t>237</t>
  </si>
  <si>
    <t>Титовское</t>
  </si>
  <si>
    <t>56654414</t>
  </si>
  <si>
    <t>238</t>
  </si>
  <si>
    <t>Черкасское</t>
  </si>
  <si>
    <t>56654416</t>
  </si>
  <si>
    <t>239</t>
  </si>
  <si>
    <t>Чкаловское</t>
  </si>
  <si>
    <t>56654419</t>
  </si>
  <si>
    <t>240</t>
  </si>
  <si>
    <t>Шейнское</t>
  </si>
  <si>
    <t>56654422</t>
  </si>
  <si>
    <t>241</t>
  </si>
  <si>
    <t>56655000</t>
  </si>
  <si>
    <t>Алферьевское</t>
  </si>
  <si>
    <t>56655402</t>
  </si>
  <si>
    <t>242</t>
  </si>
  <si>
    <t>Богословское</t>
  </si>
  <si>
    <t>56655407</t>
  </si>
  <si>
    <t>243</t>
  </si>
  <si>
    <t>Большееланское</t>
  </si>
  <si>
    <t>56655410</t>
  </si>
  <si>
    <t>244</t>
  </si>
  <si>
    <t>Варыпаевское</t>
  </si>
  <si>
    <t>56655411</t>
  </si>
  <si>
    <t>245</t>
  </si>
  <si>
    <t>Воскресеновское</t>
  </si>
  <si>
    <t>56655419</t>
  </si>
  <si>
    <t>246</t>
  </si>
  <si>
    <t>Ермоловское</t>
  </si>
  <si>
    <t>56655427</t>
  </si>
  <si>
    <t>247</t>
  </si>
  <si>
    <t>Кондольское</t>
  </si>
  <si>
    <t>56655431</t>
  </si>
  <si>
    <t>249</t>
  </si>
  <si>
    <t>Краснопольское</t>
  </si>
  <si>
    <t>56655439</t>
  </si>
  <si>
    <t>250</t>
  </si>
  <si>
    <t>Кучкинское</t>
  </si>
  <si>
    <t>56655432</t>
  </si>
  <si>
    <t>251</t>
  </si>
  <si>
    <t>Ленинское</t>
  </si>
  <si>
    <t>56655436</t>
  </si>
  <si>
    <t>252</t>
  </si>
  <si>
    <t>Леонидовское</t>
  </si>
  <si>
    <t>56655438</t>
  </si>
  <si>
    <t>253</t>
  </si>
  <si>
    <t>Мичуринское</t>
  </si>
  <si>
    <t>56655433</t>
  </si>
  <si>
    <t>254</t>
  </si>
  <si>
    <t>Оленевское</t>
  </si>
  <si>
    <t>56655434</t>
  </si>
  <si>
    <t>255</t>
  </si>
  <si>
    <t>256</t>
  </si>
  <si>
    <t>Покрово-Березовское</t>
  </si>
  <si>
    <t>56655442</t>
  </si>
  <si>
    <t>257</t>
  </si>
  <si>
    <t>Поселок Золотаревка</t>
  </si>
  <si>
    <t>56655153</t>
  </si>
  <si>
    <t>258</t>
  </si>
  <si>
    <t>Саловское</t>
  </si>
  <si>
    <t>56655437</t>
  </si>
  <si>
    <t>259</t>
  </si>
  <si>
    <t>Старокаменское</t>
  </si>
  <si>
    <t>56655443</t>
  </si>
  <si>
    <t>260</t>
  </si>
  <si>
    <t>Сердобский муниципальный район</t>
  </si>
  <si>
    <t>56656000</t>
  </si>
  <si>
    <t>Город Сердобск</t>
  </si>
  <si>
    <t>56656101</t>
  </si>
  <si>
    <t>261</t>
  </si>
  <si>
    <t>Долгоруковское</t>
  </si>
  <si>
    <t>56656407</t>
  </si>
  <si>
    <t>262</t>
  </si>
  <si>
    <t>Кировское</t>
  </si>
  <si>
    <t>56656413</t>
  </si>
  <si>
    <t>263</t>
  </si>
  <si>
    <t>Куракинское</t>
  </si>
  <si>
    <t>56656416</t>
  </si>
  <si>
    <t>264</t>
  </si>
  <si>
    <t>Мещерское</t>
  </si>
  <si>
    <t>56656420</t>
  </si>
  <si>
    <t>265</t>
  </si>
  <si>
    <t>Новостуденовское</t>
  </si>
  <si>
    <t>56656422</t>
  </si>
  <si>
    <t>266</t>
  </si>
  <si>
    <t>Песчанское</t>
  </si>
  <si>
    <t>56656425</t>
  </si>
  <si>
    <t>267</t>
  </si>
  <si>
    <t>Пригородное</t>
  </si>
  <si>
    <t>56656428</t>
  </si>
  <si>
    <t>268</t>
  </si>
  <si>
    <t>Рощинское</t>
  </si>
  <si>
    <t>56656431</t>
  </si>
  <si>
    <t>269</t>
  </si>
  <si>
    <t>Сазанское</t>
  </si>
  <si>
    <t>56656433</t>
  </si>
  <si>
    <t>270</t>
  </si>
  <si>
    <t>Секретарское</t>
  </si>
  <si>
    <t>56656434</t>
  </si>
  <si>
    <t>271</t>
  </si>
  <si>
    <t>272</t>
  </si>
  <si>
    <t>Сокольское</t>
  </si>
  <si>
    <t>56656437</t>
  </si>
  <si>
    <t>273</t>
  </si>
  <si>
    <t>Сосновоборский муниципальный район</t>
  </si>
  <si>
    <t>56657000</t>
  </si>
  <si>
    <t>Вачелайское</t>
  </si>
  <si>
    <t>56657402</t>
  </si>
  <si>
    <t>274</t>
  </si>
  <si>
    <t>Вязовское</t>
  </si>
  <si>
    <t>56657404</t>
  </si>
  <si>
    <t>275</t>
  </si>
  <si>
    <t>Еремеевское</t>
  </si>
  <si>
    <t>56657407</t>
  </si>
  <si>
    <t>276</t>
  </si>
  <si>
    <t>Индерское</t>
  </si>
  <si>
    <t>56657410</t>
  </si>
  <si>
    <t>277</t>
  </si>
  <si>
    <t>Маркинское</t>
  </si>
  <si>
    <t>56657416</t>
  </si>
  <si>
    <t>278</t>
  </si>
  <si>
    <t>Нижнекатмисское</t>
  </si>
  <si>
    <t>56657419</t>
  </si>
  <si>
    <t>279</t>
  </si>
  <si>
    <t>Николо-Барнуковское</t>
  </si>
  <si>
    <t>56657428</t>
  </si>
  <si>
    <t>280</t>
  </si>
  <si>
    <t>Пичилейское</t>
  </si>
  <si>
    <t>56657431</t>
  </si>
  <si>
    <t>281</t>
  </si>
  <si>
    <t>Поселок Сосновоборск</t>
  </si>
  <si>
    <t>56657151</t>
  </si>
  <si>
    <t>282</t>
  </si>
  <si>
    <t>283</t>
  </si>
  <si>
    <t>Шугуровское</t>
  </si>
  <si>
    <t>56657437</t>
  </si>
  <si>
    <t>284</t>
  </si>
  <si>
    <t>Спасский муниципальный район</t>
  </si>
  <si>
    <t>56606000</t>
  </si>
  <si>
    <t>Абашевское</t>
  </si>
  <si>
    <t>56606402</t>
  </si>
  <si>
    <t>285</t>
  </si>
  <si>
    <t>Беднодемьяновское</t>
  </si>
  <si>
    <t>56606403</t>
  </si>
  <si>
    <t>286</t>
  </si>
  <si>
    <t>Веденяпинское</t>
  </si>
  <si>
    <t>56606404</t>
  </si>
  <si>
    <t>287</t>
  </si>
  <si>
    <t>Город Спасск</t>
  </si>
  <si>
    <t>56606101</t>
  </si>
  <si>
    <t>288</t>
  </si>
  <si>
    <t>Дубровское</t>
  </si>
  <si>
    <t>56606407</t>
  </si>
  <si>
    <t>289</t>
  </si>
  <si>
    <t>Зубовское</t>
  </si>
  <si>
    <t>56606410</t>
  </si>
  <si>
    <t>290</t>
  </si>
  <si>
    <t>Кошелевское</t>
  </si>
  <si>
    <t>56606413</t>
  </si>
  <si>
    <t>291</t>
  </si>
  <si>
    <t>Рузановкое</t>
  </si>
  <si>
    <t>56606415</t>
  </si>
  <si>
    <t>292</t>
  </si>
  <si>
    <t>293</t>
  </si>
  <si>
    <t>Татаро-Шелдаисское</t>
  </si>
  <si>
    <t>56606416</t>
  </si>
  <si>
    <t>294</t>
  </si>
  <si>
    <t>Устьинское</t>
  </si>
  <si>
    <t>56606419</t>
  </si>
  <si>
    <t>295</t>
  </si>
  <si>
    <t>Тамалинский муниципальный район</t>
  </si>
  <si>
    <t>56658000</t>
  </si>
  <si>
    <t>Вишневское</t>
  </si>
  <si>
    <t>56658407</t>
  </si>
  <si>
    <t>296</t>
  </si>
  <si>
    <t>Волче-Вражское</t>
  </si>
  <si>
    <t>56658410</t>
  </si>
  <si>
    <t>297</t>
  </si>
  <si>
    <t>Малосергиевское</t>
  </si>
  <si>
    <t>56658425</t>
  </si>
  <si>
    <t>298</t>
  </si>
  <si>
    <t>Мачинское</t>
  </si>
  <si>
    <t>56658428</t>
  </si>
  <si>
    <t>299</t>
  </si>
  <si>
    <t>Поселок Тамала</t>
  </si>
  <si>
    <t>56658151</t>
  </si>
  <si>
    <t>300</t>
  </si>
  <si>
    <t>301</t>
  </si>
  <si>
    <t>Ульяновское</t>
  </si>
  <si>
    <t>56658437</t>
  </si>
  <si>
    <t>302</t>
  </si>
  <si>
    <t>Шемышейский муниципальный район</t>
  </si>
  <si>
    <t>56659000</t>
  </si>
  <si>
    <t>Армиевское</t>
  </si>
  <si>
    <t>56659402</t>
  </si>
  <si>
    <t>303</t>
  </si>
  <si>
    <t>Воробьевское</t>
  </si>
  <si>
    <t>56659404</t>
  </si>
  <si>
    <t>304</t>
  </si>
  <si>
    <t>56659406</t>
  </si>
  <si>
    <t>305</t>
  </si>
  <si>
    <t>Каржимантское</t>
  </si>
  <si>
    <t>56659407</t>
  </si>
  <si>
    <t>306</t>
  </si>
  <si>
    <t>Колдаисское</t>
  </si>
  <si>
    <t>56659408</t>
  </si>
  <si>
    <t>307</t>
  </si>
  <si>
    <t>Наскафтымское</t>
  </si>
  <si>
    <t>56659413</t>
  </si>
  <si>
    <t>308</t>
  </si>
  <si>
    <t>Поселок Шемышейка</t>
  </si>
  <si>
    <t>56659151</t>
  </si>
  <si>
    <t>309</t>
  </si>
  <si>
    <t>Руссконоркинское</t>
  </si>
  <si>
    <t>56659420</t>
  </si>
  <si>
    <t>310</t>
  </si>
  <si>
    <t>Синодское</t>
  </si>
  <si>
    <t>56659419</t>
  </si>
  <si>
    <t>311</t>
  </si>
  <si>
    <t>Стародемкинское</t>
  </si>
  <si>
    <t>56659422</t>
  </si>
  <si>
    <t>312</t>
  </si>
  <si>
    <t>Старозахаркинское</t>
  </si>
  <si>
    <t>56659425</t>
  </si>
  <si>
    <t>313</t>
  </si>
  <si>
    <t>Старояксарское</t>
  </si>
  <si>
    <t>56659428</t>
  </si>
  <si>
    <t>314</t>
  </si>
  <si>
    <t>Усть-Узинское</t>
  </si>
  <si>
    <t>56659431</t>
  </si>
  <si>
    <t>315</t>
  </si>
  <si>
    <t>316</t>
  </si>
  <si>
    <t>город Кузнецк</t>
  </si>
  <si>
    <t>56705000</t>
  </si>
  <si>
    <t>317</t>
  </si>
  <si>
    <t>город Пенза</t>
  </si>
  <si>
    <t>56701000</t>
  </si>
  <si>
    <t>318</t>
  </si>
  <si>
    <t>NUMBER_POINT</t>
  </si>
  <si>
    <t>INVP_NAME</t>
  </si>
  <si>
    <t>INVP_ID</t>
  </si>
  <si>
    <t>L_START_DATE</t>
  </si>
  <si>
    <t>L_END_DATE</t>
  </si>
  <si>
    <t>L_DECISION_NAME</t>
  </si>
  <si>
    <t>L_DECISION_TYPE</t>
  </si>
  <si>
    <t>L_DECISION_NMBR</t>
  </si>
  <si>
    <t>L_DECISION_DATE</t>
  </si>
  <si>
    <t>Инвестиционная программа № 4-8а-08/62 от 22.11.2021 ООО "РТК" в сфере теплоснабжения по реконструкции и модернизации существующих объектов имущественного комплекса, на территории муниципального района Наровчатский на 2021-2031 годы</t>
  </si>
  <si>
    <t>22.11.2021</t>
  </si>
  <si>
    <t>22.11.2031</t>
  </si>
  <si>
    <t>Инвестиционная программа № 4-8а-08/63 от 30.11.2021 ООО "РТК" в сфере теплоснабжения по модернизации имущественного комплекса, на территории муниципального района Мокшанский на 2021-2031 годы</t>
  </si>
  <si>
    <t>30.11.2021</t>
  </si>
  <si>
    <t>30.11.2031</t>
  </si>
  <si>
    <t>Инвестиционная программа № 4-8а-08/64 от 30.11.2021 ООО "РТК" в сфере теплоснабжения по модернизации имущественного комплекса, на территории муниципального района Малосердобинский на 2021-2031 годы</t>
  </si>
  <si>
    <t>Инвестиционная программа от 23.10.2020 Филиал "Мордовский" ПАО "Т Плюс" в сфере теплоснабжения в отношении объектов, на территории городского округа Пенза на 2021-2023 годы</t>
  </si>
  <si>
    <t>01.01.2021</t>
  </si>
  <si>
    <t>31.12.2023</t>
  </si>
  <si>
    <t>Инвестиционная программа от 28.09.2021 ООО "РТК" в сфере теплоснабжения по модернизации объектов, на территории муниципального района Наровчатский на 2021-2031 годы</t>
  </si>
  <si>
    <t>28.09.2021</t>
  </si>
  <si>
    <t>28.09.2031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</si>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</sst>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4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0" fontId="5" fillId="13" borderId="3" xfId="0" applyNumberFormat="1" applyFont="1" applyFill="1" applyBorder="1" applyAlignment="1" applyProtection="1">
      <alignment horizontal="left" vertical="center" wrapText="1" indent="1"/>
      <protection locked="0"/>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166"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 fontId="29" fillId="10" borderId="4" xfId="0" applyNumberFormat="1" applyFont="1" applyFill="1" applyBorder="1" applyAlignment="1">
      <alignment horizontal="center"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indent="1"/>
    </xf>
    <xf numFmtId="4" fontId="29"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 fontId="29" fillId="10" borderId="4"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1"/>
    </xf>
    <xf numFmtId="4" fontId="29"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17" fillId="0" borderId="0" xfId="0" applyNumberFormat="1" applyFont="1" applyAlignment="1">
      <alignment horizontal="center" vertical="center" wrapText="1"/>
    </xf>
    <xf numFmtId="49" fontId="5" fillId="13" borderId="3" xfId="0" applyNumberFormat="1" applyFont="1" applyFill="1" applyBorder="1" applyAlignment="1" applyProtection="1">
      <alignment horizontal="left" vertical="center" wrapText="1" inden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rso@energetik-2001.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a8968f4b-fd82-424d-a360-d1bdd2a520df"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urchase-plan/card/position-info.html?guid=b64c698b-a2eb-41c8-9115-5b1baf7c84d7" TargetMode="External"/><Relationship Id="rId2" Type="http://schemas.openxmlformats.org/officeDocument/2006/relationships/hyperlink" Target="http://energetik-2001.ru/polozhenie-o-zakupkah" TargetMode="External"/><Relationship Id="rId1" Type="http://schemas.openxmlformats.org/officeDocument/2006/relationships/hyperlink" Target="http://energetik-2001.ru/polozhenie-o-zakupkah" TargetMode="External"/><Relationship Id="rId5" Type="http://schemas.openxmlformats.org/officeDocument/2006/relationships/drawing" Target="../drawings/drawing8.xml"/><Relationship Id="rId4" Type="http://schemas.openxmlformats.org/officeDocument/2006/relationships/hyperlink" Target="https://zakupki.gov.ru/epz/order/extendedsearch/results.html?searchString=5835037909&amp;morphology=on&amp;search-filter=&#1044;&#1072;&#1090;&#1077;+&#1088;&#1072;&#1079;&#1084;&#1077;&#1097;&#1077;&#1085;&#1080;&#1103;&amp;pageNumber=1&amp;sortDirection=false&amp;recordsPerPage=_10&amp;showLotsInfoHidden=false&amp;sortBy=UPDATE_DATE&amp;fz44=on&amp;fz223=on&amp;af=on&amp;ca=on&amp;pc=on&amp;pa=on&amp;currencyIdGeneral=-1"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9" customWidth="1"/>
    <col min="2" max="2" width="9.140625" style="2029" customWidth="1"/>
    <col min="3" max="3" width="16.42578125" style="2029" customWidth="1"/>
    <col min="4" max="25" width="6.28515625" style="2029" customWidth="1"/>
    <col min="26" max="28" width="11" style="2029"/>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89" t="s">
        <v>1</v>
      </c>
      <c r="C2" s="2089"/>
      <c r="D2" s="2089"/>
      <c r="E2" s="2089"/>
      <c r="F2" s="2089"/>
      <c r="G2" s="2089"/>
      <c r="H2" s="2089"/>
      <c r="I2" s="2089"/>
      <c r="J2" s="2089"/>
      <c r="K2" s="2089"/>
      <c r="L2" s="2089"/>
      <c r="M2" s="2089"/>
      <c r="N2" s="2089"/>
      <c r="O2" s="2089"/>
      <c r="P2" s="2089"/>
      <c r="Q2" s="1631"/>
      <c r="R2" s="1631"/>
      <c r="S2" s="1631"/>
      <c r="T2" s="1631"/>
      <c r="U2" s="1631"/>
      <c r="V2" s="1632"/>
      <c r="W2" s="1631"/>
      <c r="X2" s="1631"/>
      <c r="Y2" s="1629"/>
      <c r="Z2" s="1628"/>
      <c r="AA2" s="1630"/>
      <c r="AB2" s="1628"/>
    </row>
    <row r="3" spans="1:28" ht="15.75" customHeight="1">
      <c r="A3" s="1628"/>
      <c r="B3" s="2090" t="s">
        <v>2</v>
      </c>
      <c r="C3" s="2090"/>
      <c r="D3" s="2090"/>
      <c r="E3" s="2090"/>
      <c r="F3" s="2090"/>
      <c r="G3" s="2090"/>
      <c r="H3" s="2090"/>
      <c r="I3" s="2090"/>
      <c r="J3" s="2090"/>
      <c r="K3" s="2090"/>
      <c r="L3" s="2090"/>
      <c r="M3" s="2090"/>
      <c r="N3" s="2090"/>
      <c r="O3" s="2090"/>
      <c r="P3" s="2090"/>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91"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92"/>
      <c r="D5" s="2092"/>
      <c r="E5" s="2092"/>
      <c r="F5" s="2092"/>
      <c r="G5" s="2092"/>
      <c r="H5" s="2092"/>
      <c r="I5" s="2092"/>
      <c r="J5" s="2092"/>
      <c r="K5" s="2092"/>
      <c r="L5" s="2092"/>
      <c r="M5" s="2092"/>
      <c r="N5" s="2092"/>
      <c r="O5" s="2092"/>
      <c r="P5" s="2092"/>
      <c r="Q5" s="2092"/>
      <c r="R5" s="2092"/>
      <c r="S5" s="2092"/>
      <c r="T5" s="2092"/>
      <c r="U5" s="2092"/>
      <c r="V5" s="2092"/>
      <c r="W5" s="2092"/>
      <c r="X5" s="2092"/>
      <c r="Y5" s="2093"/>
      <c r="Z5" s="1634"/>
      <c r="AA5" s="1630"/>
      <c r="AB5" s="1634"/>
    </row>
    <row r="6" spans="1:28" ht="15" customHeight="1">
      <c r="A6" s="1635"/>
      <c r="B6" s="2081" t="s">
        <v>3</v>
      </c>
      <c r="C6" s="208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81"/>
      <c r="C7" s="208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81"/>
      <c r="C8" s="2084"/>
      <c r="D8" s="1641"/>
      <c r="E8" s="1642" t="s">
        <v>4</v>
      </c>
      <c r="F8" s="2094" t="s">
        <v>5</v>
      </c>
      <c r="G8" s="2083"/>
      <c r="H8" s="2083"/>
      <c r="I8" s="2083"/>
      <c r="J8" s="2083"/>
      <c r="K8" s="2083"/>
      <c r="L8" s="2083"/>
      <c r="M8" s="2083"/>
      <c r="N8" s="1641"/>
      <c r="O8" s="1643" t="s">
        <v>4</v>
      </c>
      <c r="P8" s="2095" t="s">
        <v>6</v>
      </c>
      <c r="Q8" s="2096"/>
      <c r="R8" s="2096"/>
      <c r="S8" s="2096"/>
      <c r="T8" s="2096"/>
      <c r="U8" s="2096"/>
      <c r="V8" s="2096"/>
      <c r="W8" s="2096"/>
      <c r="X8" s="2096"/>
      <c r="Y8" s="1637"/>
      <c r="Z8" s="1638"/>
      <c r="AA8" s="1639"/>
      <c r="AB8" s="1639"/>
    </row>
    <row r="9" spans="1:28" ht="15" customHeight="1">
      <c r="A9" s="1635"/>
      <c r="B9" s="2081"/>
      <c r="C9" s="2084"/>
      <c r="D9" s="1641"/>
      <c r="E9" s="1644" t="s">
        <v>4</v>
      </c>
      <c r="F9" s="2094" t="s">
        <v>7</v>
      </c>
      <c r="G9" s="2083"/>
      <c r="H9" s="2083"/>
      <c r="I9" s="2083"/>
      <c r="J9" s="2083"/>
      <c r="K9" s="2083"/>
      <c r="L9" s="2083"/>
      <c r="M9" s="2083"/>
      <c r="N9" s="1641"/>
      <c r="O9" s="1645" t="s">
        <v>4</v>
      </c>
      <c r="P9" s="2095" t="s">
        <v>8</v>
      </c>
      <c r="Q9" s="2096"/>
      <c r="R9" s="2096"/>
      <c r="S9" s="2096"/>
      <c r="T9" s="2096"/>
      <c r="U9" s="2096"/>
      <c r="V9" s="2096"/>
      <c r="W9" s="2096"/>
      <c r="X9" s="2096"/>
      <c r="Y9" s="1637"/>
      <c r="Z9" s="1638"/>
      <c r="AA9" s="1639"/>
      <c r="AB9" s="1639"/>
    </row>
    <row r="10" spans="1:28" ht="30" customHeight="1">
      <c r="A10" s="1635"/>
      <c r="B10" s="2081"/>
      <c r="C10" s="208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8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81"/>
      <c r="C12" s="2082"/>
      <c r="D12" s="1649"/>
      <c r="E12" s="2083" t="s">
        <v>10</v>
      </c>
      <c r="F12" s="2083"/>
      <c r="G12" s="2083"/>
      <c r="H12" s="2083"/>
      <c r="I12" s="2083"/>
      <c r="J12" s="2083"/>
      <c r="K12" s="2083"/>
      <c r="L12" s="2083"/>
      <c r="M12" s="2083"/>
      <c r="N12" s="2083"/>
      <c r="O12" s="2083"/>
      <c r="P12" s="2083"/>
      <c r="Q12" s="2083"/>
      <c r="R12" s="2083"/>
      <c r="S12" s="2083"/>
      <c r="T12" s="2083"/>
      <c r="U12" s="2083"/>
      <c r="V12" s="2083"/>
      <c r="W12" s="2083"/>
      <c r="X12" s="2083"/>
      <c r="Y12" s="1637"/>
      <c r="Z12" s="1638"/>
      <c r="AA12" s="1639"/>
      <c r="AB12" s="1639"/>
    </row>
    <row r="13" spans="1:28" ht="15" customHeight="1">
      <c r="A13" s="1635"/>
      <c r="B13" s="1" t="s">
        <v>11</v>
      </c>
      <c r="C13" s="208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81"/>
      <c r="C14" s="2084"/>
      <c r="D14" s="1641"/>
      <c r="E14" s="2087" t="s">
        <v>12</v>
      </c>
      <c r="F14" s="2087"/>
      <c r="G14" s="2087"/>
      <c r="H14" s="2087"/>
      <c r="I14" s="2087"/>
      <c r="J14" s="2087"/>
      <c r="K14" s="2087"/>
      <c r="L14" s="2087"/>
      <c r="M14" s="2087"/>
      <c r="N14" s="2087"/>
      <c r="O14" s="2087"/>
      <c r="P14" s="2087"/>
      <c r="Q14" s="2087"/>
      <c r="R14" s="2087"/>
      <c r="S14" s="2087"/>
      <c r="T14" s="2087"/>
      <c r="U14" s="2087"/>
      <c r="V14" s="2087"/>
      <c r="W14" s="2087"/>
      <c r="X14" s="2087"/>
      <c r="Y14" s="1637"/>
      <c r="Z14" s="1638"/>
      <c r="AA14" s="1639"/>
      <c r="AB14" s="1639"/>
    </row>
    <row r="15" spans="1:28" ht="16.5" customHeight="1">
      <c r="A15" s="1635"/>
      <c r="B15" s="2085"/>
      <c r="C15" s="208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87"/>
      <c r="C16" s="2088"/>
      <c r="D16" s="2088"/>
      <c r="E16" s="2088"/>
      <c r="F16" s="2088"/>
      <c r="G16" s="2088"/>
      <c r="H16" s="2088"/>
      <c r="I16" s="2088"/>
      <c r="J16" s="2088"/>
      <c r="K16" s="2088"/>
      <c r="L16" s="2088"/>
      <c r="M16" s="2088"/>
      <c r="N16" s="2088"/>
      <c r="O16" s="2088"/>
      <c r="P16" s="2088"/>
      <c r="Q16" s="2088"/>
      <c r="R16" s="2088"/>
      <c r="S16" s="2088"/>
      <c r="T16" s="2088"/>
      <c r="U16" s="2088"/>
      <c r="V16" s="2088"/>
      <c r="W16" s="2088"/>
      <c r="X16" s="2088"/>
      <c r="Y16" s="208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09" t="s">
        <v>394</v>
      </c>
      <c r="F4" s="2109"/>
      <c r="G4" s="2110"/>
      <c r="H4" s="2110"/>
      <c r="I4" s="2111"/>
      <c r="J4" s="428"/>
      <c r="K4" s="390"/>
      <c r="L4" s="390"/>
      <c r="W4" s="384">
        <v>22</v>
      </c>
    </row>
    <row r="5" spans="1:23" s="1562" customFormat="1" ht="18" customHeight="1">
      <c r="A5" s="694"/>
      <c r="D5" s="753"/>
      <c r="E5" s="2226" t="str">
        <f>IF(org=0,"Не определено",org)</f>
        <v>ООО ПКФ "Энергетик-2001"</v>
      </c>
      <c r="F5" s="2226"/>
      <c r="G5" s="2227"/>
      <c r="H5" s="2227"/>
      <c r="I5" s="222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11" t="s">
        <v>306</v>
      </c>
      <c r="F7" s="2211"/>
      <c r="G7" s="2212"/>
      <c r="H7" s="2212"/>
      <c r="I7" s="2212"/>
      <c r="J7" s="2212"/>
      <c r="K7" s="2212"/>
      <c r="L7" s="2175" t="s">
        <v>307</v>
      </c>
      <c r="W7" s="384">
        <v>14</v>
      </c>
    </row>
    <row r="8" spans="1:23" ht="48.2" customHeight="1">
      <c r="D8" s="387"/>
      <c r="E8" s="410" t="s">
        <v>88</v>
      </c>
      <c r="F8" s="754"/>
      <c r="G8" s="402" t="s">
        <v>86</v>
      </c>
      <c r="H8" s="402" t="s">
        <v>87</v>
      </c>
      <c r="I8" s="351" t="s">
        <v>85</v>
      </c>
      <c r="J8" s="351" t="s">
        <v>395</v>
      </c>
      <c r="K8" s="351" t="s">
        <v>396</v>
      </c>
      <c r="L8" s="217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24" t="s">
        <v>397</v>
      </c>
      <c r="M10" s="444"/>
      <c r="N10" s="442"/>
      <c r="O10" s="442"/>
      <c r="P10" s="442"/>
      <c r="Q10" s="442"/>
      <c r="R10" s="442"/>
      <c r="S10" s="442"/>
      <c r="T10" s="442"/>
      <c r="U10" s="442"/>
      <c r="V10" s="442"/>
      <c r="W10" s="384">
        <v>0</v>
      </c>
    </row>
    <row r="11" spans="1:23" ht="15" hidden="1" customHeight="1">
      <c r="A11" s="2101"/>
      <c r="B11" s="441"/>
      <c r="C11" s="441"/>
      <c r="D11" s="796"/>
      <c r="E11" s="450"/>
      <c r="F11" s="450"/>
      <c r="G11" s="450"/>
      <c r="H11" s="450"/>
      <c r="I11" s="451"/>
      <c r="J11" s="452"/>
      <c r="K11" s="650"/>
      <c r="L11" s="2238"/>
      <c r="M11" s="448"/>
      <c r="N11" s="448"/>
      <c r="O11" s="448"/>
      <c r="P11" s="453"/>
      <c r="Q11" s="453"/>
      <c r="R11" s="454"/>
      <c r="S11" s="448"/>
      <c r="T11" s="448"/>
      <c r="U11" s="448"/>
      <c r="V11" s="448"/>
      <c r="W11" s="384">
        <v>0</v>
      </c>
    </row>
    <row r="12" spans="1:23" s="1539" customFormat="1" ht="15" customHeight="1">
      <c r="A12" s="2101"/>
      <c r="B12" s="441"/>
      <c r="C12" s="441"/>
      <c r="D12" s="797"/>
      <c r="E12" s="754">
        <v>1</v>
      </c>
      <c r="F12" s="795">
        <v>23</v>
      </c>
      <c r="G12" s="794"/>
      <c r="H12" s="724"/>
      <c r="I12" s="722"/>
      <c r="J12" s="457" t="s">
        <v>66</v>
      </c>
      <c r="K12" s="1091" t="s">
        <v>28</v>
      </c>
      <c r="L12" s="2238"/>
      <c r="M12" s="448"/>
      <c r="N12" s="448"/>
      <c r="O12" s="448"/>
      <c r="P12" s="453" t="s">
        <v>398</v>
      </c>
      <c r="Q12" s="453" t="s">
        <v>399</v>
      </c>
      <c r="R12" s="454" t="s">
        <v>400</v>
      </c>
      <c r="S12" s="448" t="s">
        <v>401</v>
      </c>
      <c r="T12" s="448"/>
      <c r="U12" s="448"/>
      <c r="V12" s="448"/>
      <c r="W12" s="417">
        <v>14</v>
      </c>
    </row>
    <row r="13" spans="1:23" ht="15.75" customHeight="1">
      <c r="A13" s="2101"/>
      <c r="B13" s="442"/>
      <c r="D13" s="443"/>
      <c r="E13" s="342"/>
      <c r="F13" s="466"/>
      <c r="G13" s="353" t="s">
        <v>103</v>
      </c>
      <c r="H13" s="341"/>
      <c r="I13" s="341"/>
      <c r="J13" s="341"/>
      <c r="K13" s="340"/>
      <c r="L13" s="222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51">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437"/>
      <c r="AP2" s="437" t="str">
        <f t="shared" ref="AP2:AP15" si="0">IF(T2="","",T2)</f>
        <v>Наименование тарифа</v>
      </c>
      <c r="AQ2" s="437"/>
      <c r="AR2" s="437"/>
      <c r="AS2" s="1082">
        <v>0</v>
      </c>
    </row>
    <row r="3" spans="1:45" ht="21" hidden="1" customHeight="1">
      <c r="A3" s="1290"/>
      <c r="B3" s="1290"/>
      <c r="C3" s="1290"/>
      <c r="D3" s="1290"/>
      <c r="E3" s="2252"/>
      <c r="F3" s="2251">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437"/>
      <c r="AP3" s="437" t="str">
        <f t="shared" si="0"/>
        <v>Территория действия тарифа</v>
      </c>
      <c r="AQ3" s="437"/>
      <c r="AR3" s="437"/>
      <c r="AS3" s="1082">
        <v>0</v>
      </c>
    </row>
    <row r="4" spans="1:45" ht="23.25" hidden="1" customHeight="1">
      <c r="A4" s="1290"/>
      <c r="B4" s="1290"/>
      <c r="C4" s="1290"/>
      <c r="D4" s="1290"/>
      <c r="E4" s="2252"/>
      <c r="F4" s="2252"/>
      <c r="G4" s="2251">
        <v>1</v>
      </c>
      <c r="H4" s="1290"/>
      <c r="I4" s="1290"/>
      <c r="J4" s="1290"/>
      <c r="K4" s="1290"/>
      <c r="L4" s="1291"/>
      <c r="M4" s="1292"/>
      <c r="N4" s="1292"/>
      <c r="O4" s="1292"/>
      <c r="P4" s="291"/>
      <c r="Q4" s="289"/>
      <c r="R4" s="290"/>
      <c r="S4" s="1236"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52"/>
      <c r="F5" s="2252"/>
      <c r="G5" s="2252"/>
      <c r="H5" s="2251">
        <v>1</v>
      </c>
      <c r="I5" s="1290"/>
      <c r="J5" s="1290"/>
      <c r="K5" s="1290"/>
      <c r="L5" s="1291"/>
      <c r="M5" s="1292"/>
      <c r="N5" s="1292"/>
      <c r="O5" s="1292"/>
      <c r="P5" s="291"/>
      <c r="Q5" s="289"/>
      <c r="R5" s="290"/>
      <c r="S5" s="1236"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52"/>
      <c r="F6" s="2252"/>
      <c r="G6" s="2252"/>
      <c r="H6" s="2252"/>
      <c r="I6" s="2253" t="e">
        <f>S5&amp;".1"</f>
        <v>#N/A</v>
      </c>
      <c r="J6" s="1290"/>
      <c r="K6" s="1290"/>
      <c r="L6" s="1291" t="s">
        <v>409</v>
      </c>
      <c r="M6" s="474"/>
      <c r="P6" s="2255">
        <v>1</v>
      </c>
      <c r="Q6" s="1232"/>
      <c r="R6" s="293"/>
      <c r="S6" s="1236" t="e">
        <f>$I6</f>
        <v>#N/A</v>
      </c>
      <c r="T6" s="223" t="s">
        <v>410</v>
      </c>
      <c r="U6" s="238"/>
      <c r="V6" s="2239"/>
      <c r="W6" s="2240"/>
      <c r="X6" s="2240"/>
      <c r="Y6" s="2240"/>
      <c r="Z6" s="2240"/>
      <c r="AA6" s="2240"/>
      <c r="AB6" s="2240"/>
      <c r="AC6" s="2241"/>
      <c r="AD6" s="2239"/>
      <c r="AE6" s="2240"/>
      <c r="AF6" s="2240"/>
      <c r="AG6" s="2240"/>
      <c r="AH6" s="2240"/>
      <c r="AI6" s="2240"/>
      <c r="AJ6" s="2240"/>
      <c r="AK6" s="2240"/>
      <c r="AL6" s="224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52"/>
      <c r="F7" s="2252"/>
      <c r="G7" s="2252"/>
      <c r="H7" s="2252"/>
      <c r="I7" s="2254"/>
      <c r="J7" s="2253" t="e">
        <f>I6&amp;".1"</f>
        <v>#N/A</v>
      </c>
      <c r="K7" s="1290"/>
      <c r="L7" s="1291" t="s">
        <v>412</v>
      </c>
      <c r="M7" s="474"/>
      <c r="N7" s="1293"/>
      <c r="P7" s="2255"/>
      <c r="Q7" s="2255">
        <v>1</v>
      </c>
      <c r="R7" s="294"/>
      <c r="S7" s="1236" t="e">
        <f>$J7</f>
        <v>#N/A</v>
      </c>
      <c r="T7" s="224" t="s">
        <v>413</v>
      </c>
      <c r="U7" s="238"/>
      <c r="V7" s="2239"/>
      <c r="W7" s="2240"/>
      <c r="X7" s="2240"/>
      <c r="Y7" s="2240"/>
      <c r="Z7" s="2240"/>
      <c r="AA7" s="2240"/>
      <c r="AB7" s="2240"/>
      <c r="AC7" s="2241"/>
      <c r="AD7" s="2239"/>
      <c r="AE7" s="2240"/>
      <c r="AF7" s="2240"/>
      <c r="AG7" s="2240"/>
      <c r="AH7" s="2240"/>
      <c r="AI7" s="2240"/>
      <c r="AJ7" s="2240"/>
      <c r="AK7" s="2240"/>
      <c r="AL7" s="2241"/>
      <c r="AM7" s="1185" t="s">
        <v>414</v>
      </c>
      <c r="AO7" s="437"/>
      <c r="AP7" s="437" t="str">
        <f t="shared" si="0"/>
        <v>Группа потребителей</v>
      </c>
      <c r="AQ7" s="437"/>
      <c r="AR7" s="437"/>
      <c r="AS7" s="1082">
        <v>0</v>
      </c>
    </row>
    <row r="8" spans="1:45" ht="21" hidden="1" customHeight="1">
      <c r="A8" s="1290"/>
      <c r="B8" s="1290"/>
      <c r="C8" s="1290"/>
      <c r="D8" s="1290"/>
      <c r="E8" s="2252"/>
      <c r="F8" s="2252"/>
      <c r="G8" s="2252"/>
      <c r="H8" s="2252"/>
      <c r="I8" s="2254"/>
      <c r="J8" s="2254"/>
      <c r="K8" s="2253" t="e">
        <f>J7&amp;".1"</f>
        <v>#N/A</v>
      </c>
      <c r="L8" s="1291" t="s">
        <v>415</v>
      </c>
      <c r="M8" s="474"/>
      <c r="N8" s="1293"/>
      <c r="O8" s="1293"/>
      <c r="P8" s="2255"/>
      <c r="Q8" s="2255"/>
      <c r="R8" s="294">
        <v>1</v>
      </c>
      <c r="S8" s="1236" t="e">
        <f>$K8</f>
        <v>#N/A</v>
      </c>
      <c r="T8" s="1274"/>
      <c r="U8" s="238"/>
      <c r="V8" s="688"/>
      <c r="W8" s="263"/>
      <c r="X8" s="688"/>
      <c r="Y8" s="1184"/>
      <c r="Z8" s="2256"/>
      <c r="AA8" s="2126" t="s">
        <v>66</v>
      </c>
      <c r="AB8" s="2256"/>
      <c r="AC8" s="2126" t="s">
        <v>66</v>
      </c>
      <c r="AD8" s="688"/>
      <c r="AE8" s="263"/>
      <c r="AF8" s="688"/>
      <c r="AG8" s="1184"/>
      <c r="AH8" s="2256"/>
      <c r="AI8" s="2126" t="s">
        <v>66</v>
      </c>
      <c r="AJ8" s="2256"/>
      <c r="AK8" s="2126" t="s">
        <v>66</v>
      </c>
      <c r="AL8" s="263"/>
      <c r="AM8" s="2274" t="s">
        <v>416</v>
      </c>
      <c r="AN8" s="448" t="e">
        <f ca="1">STRCHECKDATE(V9:AL9)</f>
        <v>#NAME?</v>
      </c>
      <c r="AO8" s="437"/>
      <c r="AP8" s="437" t="str">
        <f t="shared" si="0"/>
        <v/>
      </c>
      <c r="AQ8" s="437"/>
      <c r="AR8" s="437"/>
      <c r="AS8" s="1082">
        <v>0</v>
      </c>
    </row>
    <row r="9" spans="1:45" ht="0.75" hidden="1" customHeight="1">
      <c r="A9" s="1290"/>
      <c r="B9" s="1290"/>
      <c r="C9" s="1290"/>
      <c r="D9" s="1290"/>
      <c r="E9" s="2252"/>
      <c r="F9" s="2252"/>
      <c r="G9" s="2252"/>
      <c r="H9" s="2252"/>
      <c r="I9" s="2254"/>
      <c r="J9" s="2254"/>
      <c r="K9" s="2253"/>
      <c r="L9" s="1291"/>
      <c r="M9" s="474"/>
      <c r="N9" s="1293"/>
      <c r="O9" s="1293"/>
      <c r="P9" s="2255"/>
      <c r="Q9" s="2255"/>
      <c r="R9" s="294"/>
      <c r="S9" s="1233"/>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437"/>
      <c r="AP9" s="437" t="str">
        <f t="shared" si="0"/>
        <v/>
      </c>
      <c r="AQ9" s="437"/>
      <c r="AR9" s="437"/>
      <c r="AS9" s="1082">
        <v>0</v>
      </c>
    </row>
    <row r="10" spans="1:45" ht="15" hidden="1" customHeight="1">
      <c r="A10" s="1290"/>
      <c r="B10" s="1290"/>
      <c r="C10" s="1290"/>
      <c r="D10" s="1290"/>
      <c r="E10" s="2252"/>
      <c r="F10" s="2252"/>
      <c r="G10" s="2252"/>
      <c r="H10" s="2252"/>
      <c r="I10" s="2254"/>
      <c r="J10" s="2253"/>
      <c r="K10" s="1290"/>
      <c r="L10" s="1291"/>
      <c r="M10" s="474"/>
      <c r="N10" s="1293"/>
      <c r="P10" s="2255"/>
      <c r="Q10" s="225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7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52"/>
      <c r="F11" s="2252"/>
      <c r="G11" s="2252"/>
      <c r="H11" s="2252"/>
      <c r="I11" s="2253"/>
      <c r="J11" s="1290"/>
      <c r="K11" s="1290"/>
      <c r="L11" s="1291"/>
      <c r="M11" s="474"/>
      <c r="P11" s="2255"/>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52"/>
      <c r="F12" s="2252"/>
      <c r="G12" s="2252"/>
      <c r="H12" s="225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52"/>
      <c r="F13" s="2252"/>
      <c r="G13" s="2251"/>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52"/>
      <c r="F14" s="2251"/>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51"/>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49"/>
      <c r="AI17" s="2248" t="s">
        <v>66</v>
      </c>
      <c r="AJ17" s="2249"/>
      <c r="AK17" s="2248" t="s">
        <v>66</v>
      </c>
      <c r="AS17" s="1082">
        <v>0</v>
      </c>
    </row>
    <row r="18" spans="1:45" ht="14.25" hidden="1" customHeight="1">
      <c r="P18" s="1238"/>
      <c r="AD18" s="1287"/>
      <c r="AE18" s="1287"/>
      <c r="AF18" s="1287"/>
      <c r="AG18" s="266" t="str">
        <f>AH17&amp;"-"&amp;AJ17</f>
        <v>-</v>
      </c>
      <c r="AH18" s="2248"/>
      <c r="AI18" s="2248"/>
      <c r="AJ18" s="2248"/>
      <c r="AK18" s="2248"/>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70"/>
      <c r="AS26" s="1082">
        <v>14</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42" t="s">
        <v>42</v>
      </c>
      <c r="T29" s="2242"/>
      <c r="U29" s="1299"/>
      <c r="V29" s="2244" t="str">
        <f>IF(TITLE_NAME_OR_PR_CHANGE="",IF(TITLE_NAME_OR_PR="","",TITLE_NAME_OR_PR),TITLE_NAME_OR_PR_CHANGE)</f>
        <v/>
      </c>
      <c r="W29" s="2244"/>
      <c r="X29" s="2244"/>
      <c r="Y29" s="2244"/>
      <c r="Z29" s="2244"/>
      <c r="AA29" s="2244"/>
      <c r="AB29" s="2244"/>
      <c r="AC29" s="264"/>
      <c r="AD29" s="2244" t="str">
        <f>IF(TITLE_NAME_OR_PR_CHANGE="",IF(TITLE_NAME_OR_PR="","",TITLE_NAME_OR_PR),TITLE_NAME_OR_PR_CHANGE)</f>
        <v/>
      </c>
      <c r="AE29" s="2244"/>
      <c r="AF29" s="2244"/>
      <c r="AG29" s="2244"/>
      <c r="AH29" s="2244"/>
      <c r="AI29" s="2244"/>
      <c r="AJ29" s="224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42" t="s">
        <v>426</v>
      </c>
      <c r="T30" s="2242"/>
      <c r="U30" s="1299"/>
      <c r="V30" s="2243">
        <f>IF(TITLE_DATE_PR_CHANGE="",IF(TITLE_DATE_PR="","",TITLE_DATE_PR),TITLE_DATE_PR_CHANGE)</f>
        <v>45777</v>
      </c>
      <c r="W30" s="2243"/>
      <c r="X30" s="2243"/>
      <c r="Y30" s="2243"/>
      <c r="Z30" s="2243"/>
      <c r="AA30" s="2243"/>
      <c r="AB30" s="2243"/>
      <c r="AC30" s="264"/>
      <c r="AD30" s="2243">
        <f>IF(TITLE_DATE_PR_CHANGE="",IF(TITLE_DATE_PR="","",TITLE_DATE_PR),TITLE_DATE_PR_CHANGE)</f>
        <v>45777</v>
      </c>
      <c r="AE30" s="2243"/>
      <c r="AF30" s="2243"/>
      <c r="AG30" s="2243"/>
      <c r="AH30" s="2243"/>
      <c r="AI30" s="2243"/>
      <c r="AJ30" s="224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42" t="s">
        <v>427</v>
      </c>
      <c r="T31" s="2242"/>
      <c r="U31" s="1299"/>
      <c r="V31" s="2244" t="str">
        <f>IF(TITLE_NUMBER_PR_CHANGE="",IF(TITLE_NUMBER_PR="","",TITLE_NUMBER_PR),TITLE_NUMBER_PR_CHANGE)</f>
        <v>466</v>
      </c>
      <c r="W31" s="2244"/>
      <c r="X31" s="2244"/>
      <c r="Y31" s="2244"/>
      <c r="Z31" s="2244"/>
      <c r="AA31" s="2244"/>
      <c r="AB31" s="2244"/>
      <c r="AC31" s="264"/>
      <c r="AD31" s="2244" t="str">
        <f>IF(TITLE_NUMBER_PR_CHANGE="",IF(TITLE_NUMBER_PR="","",TITLE_NUMBER_PR),TITLE_NUMBER_PR_CHANGE)</f>
        <v>466</v>
      </c>
      <c r="AE31" s="2244"/>
      <c r="AF31" s="2244"/>
      <c r="AG31" s="2244"/>
      <c r="AH31" s="2244"/>
      <c r="AI31" s="2244"/>
      <c r="AJ31" s="224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42" t="s">
        <v>43</v>
      </c>
      <c r="T32" s="2242"/>
      <c r="U32" s="1299"/>
      <c r="V32" s="2244" t="str">
        <f>IF(TITLE_IST_PUB_CHANGE="",IF(TITLE_IST_PUB="","",TITLE_IST_PUB),TITLE_IST_PUB_CHANGE)</f>
        <v/>
      </c>
      <c r="W32" s="2244"/>
      <c r="X32" s="2244"/>
      <c r="Y32" s="2244"/>
      <c r="Z32" s="2244"/>
      <c r="AA32" s="2244"/>
      <c r="AB32" s="2244"/>
      <c r="AC32" s="264"/>
      <c r="AD32" s="2244" t="str">
        <f>IF(TITLE_IST_PUB_CHANGE="",IF(TITLE_IST_PUB="","",TITLE_IST_PUB),TITLE_IST_PUB_CHANGE)</f>
        <v/>
      </c>
      <c r="AE32" s="2244"/>
      <c r="AF32" s="2244"/>
      <c r="AG32" s="2244"/>
      <c r="AH32" s="2244"/>
      <c r="AI32" s="2244"/>
      <c r="AJ32" s="2244"/>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42" t="s">
        <v>428</v>
      </c>
      <c r="T34" s="2242"/>
      <c r="U34" s="1299"/>
      <c r="V34" s="2243">
        <f>IF(TITLE_DATE_PR_CHANGE="",IF(TITLE_DATE_PR="","",TITLE_DATE_PR),TITLE_DATE_PR_CHANGE)</f>
        <v>45777</v>
      </c>
      <c r="W34" s="2243"/>
      <c r="X34" s="2243"/>
      <c r="Y34" s="2243"/>
      <c r="Z34" s="2243"/>
      <c r="AA34" s="2243"/>
      <c r="AB34" s="2243"/>
      <c r="AC34" s="264"/>
      <c r="AD34" s="2243">
        <f>IF(TITLE_DATE_PR_CHANGE="",IF(TITLE_DATE_PR="","",TITLE_DATE_PR),TITLE_DATE_PR_CHANGE)</f>
        <v>45777</v>
      </c>
      <c r="AE34" s="2243"/>
      <c r="AF34" s="2243"/>
      <c r="AG34" s="2243"/>
      <c r="AH34" s="2243"/>
      <c r="AI34" s="2243"/>
      <c r="AJ34" s="224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42" t="s">
        <v>429</v>
      </c>
      <c r="T35" s="2242"/>
      <c r="U35" s="1299"/>
      <c r="V35" s="2244" t="str">
        <f>IF(TITLE_NUMBER_PR_CHANGE="",IF(TITLE_NUMBER_PR="","",TITLE_NUMBER_PR),TITLE_NUMBER_PR_CHANGE)</f>
        <v>466</v>
      </c>
      <c r="W35" s="2244"/>
      <c r="X35" s="2244"/>
      <c r="Y35" s="2244"/>
      <c r="Z35" s="2244"/>
      <c r="AA35" s="2244"/>
      <c r="AB35" s="2244"/>
      <c r="AC35" s="264"/>
      <c r="AD35" s="2244" t="str">
        <f>IF(TITLE_NUMBER_PR_CHANGE="",IF(TITLE_NUMBER_PR="","",TITLE_NUMBER_PR),TITLE_NUMBER_PR_CHANGE)</f>
        <v>466</v>
      </c>
      <c r="AE35" s="2244"/>
      <c r="AF35" s="2244"/>
      <c r="AG35" s="2244"/>
      <c r="AH35" s="2244"/>
      <c r="AI35" s="2244"/>
      <c r="AJ35" s="224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63"/>
      <c r="W37" s="2263"/>
      <c r="X37" s="2263"/>
      <c r="Y37" s="2263"/>
      <c r="Z37" s="2263"/>
      <c r="AA37" s="2263"/>
      <c r="AB37" s="2263"/>
      <c r="AC37" s="2263"/>
      <c r="AD37" s="2263"/>
      <c r="AE37" s="2263"/>
      <c r="AF37" s="2263"/>
      <c r="AG37" s="2263"/>
      <c r="AH37" s="2263"/>
      <c r="AI37" s="2263"/>
      <c r="AJ37" s="2263"/>
      <c r="AK37" s="2263"/>
      <c r="AS37" s="1082">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082">
        <v>14</v>
      </c>
    </row>
    <row r="39" spans="1:45" ht="14.65" customHeight="1">
      <c r="Q39" s="313"/>
      <c r="R39" s="313"/>
      <c r="S39" s="2264" t="s">
        <v>88</v>
      </c>
      <c r="T39" s="2212" t="s">
        <v>431</v>
      </c>
      <c r="U39" s="239"/>
      <c r="V39" s="2265" t="s">
        <v>432</v>
      </c>
      <c r="W39" s="2266"/>
      <c r="X39" s="2266"/>
      <c r="Y39" s="2266"/>
      <c r="Z39" s="2266"/>
      <c r="AA39" s="2266"/>
      <c r="AB39" s="2267"/>
      <c r="AC39" s="2268" t="s">
        <v>433</v>
      </c>
      <c r="AD39" s="2265" t="s">
        <v>432</v>
      </c>
      <c r="AE39" s="2266"/>
      <c r="AF39" s="2266"/>
      <c r="AG39" s="2266"/>
      <c r="AH39" s="2266"/>
      <c r="AI39" s="2266"/>
      <c r="AJ39" s="2267"/>
      <c r="AK39" s="2268" t="s">
        <v>434</v>
      </c>
      <c r="AL39" s="2271" t="s">
        <v>435</v>
      </c>
      <c r="AM39" s="2116"/>
      <c r="AS39" s="1082">
        <v>14</v>
      </c>
    </row>
    <row r="40" spans="1:45" ht="35.65" customHeight="1">
      <c r="Q40" s="313"/>
      <c r="R40" s="313"/>
      <c r="S40" s="2264"/>
      <c r="T40" s="2212"/>
      <c r="U40" s="961"/>
      <c r="V40" s="2184" t="s">
        <v>436</v>
      </c>
      <c r="W40" s="2260" t="s">
        <v>437</v>
      </c>
      <c r="X40" s="2098" t="s">
        <v>438</v>
      </c>
      <c r="Y40" s="2097"/>
      <c r="Z40" s="2098" t="s">
        <v>439</v>
      </c>
      <c r="AA40" s="2103"/>
      <c r="AB40" s="2097"/>
      <c r="AC40" s="2269"/>
      <c r="AD40" s="2184" t="s">
        <v>436</v>
      </c>
      <c r="AE40" s="2260" t="s">
        <v>437</v>
      </c>
      <c r="AF40" s="2098" t="s">
        <v>438</v>
      </c>
      <c r="AG40" s="2097"/>
      <c r="AH40" s="2098" t="s">
        <v>439</v>
      </c>
      <c r="AI40" s="2103"/>
      <c r="AJ40" s="2097"/>
      <c r="AK40" s="2269"/>
      <c r="AL40" s="2272"/>
      <c r="AM40" s="2116"/>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421</v>
      </c>
      <c r="Q41" s="313"/>
      <c r="R41" s="313"/>
      <c r="S41" s="2264"/>
      <c r="T41" s="2212"/>
      <c r="U41" s="240"/>
      <c r="V41" s="2237"/>
      <c r="W41" s="2261"/>
      <c r="X41" s="1149" t="s">
        <v>447</v>
      </c>
      <c r="Y41" s="1149" t="s">
        <v>448</v>
      </c>
      <c r="Z41" s="1148" t="s">
        <v>449</v>
      </c>
      <c r="AA41" s="2217" t="s">
        <v>450</v>
      </c>
      <c r="AB41" s="2231"/>
      <c r="AC41" s="2270"/>
      <c r="AD41" s="2237"/>
      <c r="AE41" s="2261"/>
      <c r="AF41" s="1149" t="s">
        <v>447</v>
      </c>
      <c r="AG41" s="1149" t="s">
        <v>448</v>
      </c>
      <c r="AH41" s="1240" t="s">
        <v>449</v>
      </c>
      <c r="AI41" s="2217" t="s">
        <v>450</v>
      </c>
      <c r="AJ41" s="2231"/>
      <c r="AK41" s="2270"/>
      <c r="AL41" s="2273"/>
      <c r="AM41" s="211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62">
        <f ca="1">OFFSET(AA42,0,-1)+1</f>
        <v>4</v>
      </c>
      <c r="AB42" s="2262"/>
      <c r="AC42" s="1183">
        <f ca="1">OFFSET(AC42,0,-2)+1</f>
        <v>5</v>
      </c>
      <c r="AD42" s="1239">
        <f ca="1">OFFSET(AD42,0,-1)+1</f>
        <v>6</v>
      </c>
      <c r="AE42" s="1239"/>
      <c r="AF42" s="1239">
        <f ca="1">OFFSET(AF42,0,-1)+1</f>
        <v>1</v>
      </c>
      <c r="AG42" s="1239">
        <f ca="1">OFFSET(AG42,0,-1)+1</f>
        <v>2</v>
      </c>
      <c r="AH42" s="1239">
        <f ca="1">OFFSET(AH42,0,-1)+1</f>
        <v>3</v>
      </c>
      <c r="AI42" s="2262">
        <f ca="1">OFFSET(AI42,0,-1)+1</f>
        <v>4</v>
      </c>
      <c r="AJ42" s="2262"/>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51">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52"/>
      <c r="F44" s="2251">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52"/>
      <c r="F45" s="2252"/>
      <c r="G45" s="2251">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52"/>
      <c r="F46" s="2252"/>
      <c r="G46" s="2252"/>
      <c r="H46" s="2251">
        <v>1</v>
      </c>
      <c r="I46" s="1290"/>
      <c r="J46" s="1290"/>
      <c r="K46" s="1290"/>
      <c r="L46" s="1291"/>
      <c r="M46" s="1292"/>
      <c r="N46" s="1292"/>
      <c r="O46" s="1292"/>
      <c r="P46" s="291"/>
      <c r="Q46" s="289"/>
      <c r="R46" s="290"/>
      <c r="S46" s="1151"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52"/>
      <c r="F47" s="2252"/>
      <c r="G47" s="2252"/>
      <c r="H47" s="2252"/>
      <c r="I47" s="2253" t="str">
        <f>S46&amp;".1"</f>
        <v>....1</v>
      </c>
      <c r="J47" s="1290"/>
      <c r="K47" s="1290"/>
      <c r="L47" s="1291" t="s">
        <v>409</v>
      </c>
      <c r="P47" s="2255">
        <v>1</v>
      </c>
      <c r="Q47" s="1147"/>
      <c r="R47" s="293"/>
      <c r="S47" s="1151" t="str">
        <f>$I47</f>
        <v>....1</v>
      </c>
      <c r="T47" s="223" t="s">
        <v>410</v>
      </c>
      <c r="U47" s="238"/>
      <c r="V47" s="2239"/>
      <c r="W47" s="2240"/>
      <c r="X47" s="2240"/>
      <c r="Y47" s="2240"/>
      <c r="Z47" s="2240"/>
      <c r="AA47" s="2240"/>
      <c r="AB47" s="2240"/>
      <c r="AC47" s="2241"/>
      <c r="AD47" s="2239"/>
      <c r="AE47" s="2240"/>
      <c r="AF47" s="2240"/>
      <c r="AG47" s="2240"/>
      <c r="AH47" s="2240"/>
      <c r="AI47" s="2240"/>
      <c r="AJ47" s="2240"/>
      <c r="AK47" s="2240"/>
      <c r="AL47" s="224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52"/>
      <c r="F48" s="2252"/>
      <c r="G48" s="2252"/>
      <c r="H48" s="2252"/>
      <c r="I48" s="2254"/>
      <c r="J48" s="2253" t="str">
        <f>I47&amp;".1"</f>
        <v>....1.1</v>
      </c>
      <c r="K48" s="1290"/>
      <c r="L48" s="1291" t="s">
        <v>412</v>
      </c>
      <c r="P48" s="2255"/>
      <c r="Q48" s="2255">
        <v>1</v>
      </c>
      <c r="R48" s="294"/>
      <c r="S48" s="1151" t="str">
        <f>$J48</f>
        <v>....1.1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52"/>
      <c r="F49" s="2252"/>
      <c r="G49" s="2252"/>
      <c r="H49" s="2252"/>
      <c r="I49" s="2254"/>
      <c r="J49" s="2254"/>
      <c r="K49" s="2253" t="str">
        <f>J48&amp;".1"</f>
        <v>....1.1.1</v>
      </c>
      <c r="L49" s="1291" t="s">
        <v>415</v>
      </c>
      <c r="P49" s="2255"/>
      <c r="Q49" s="2255"/>
      <c r="R49" s="294">
        <v>1</v>
      </c>
      <c r="S49" s="1151" t="str">
        <f>$K49</f>
        <v>....1.1.1</v>
      </c>
      <c r="T49" s="1274"/>
      <c r="U49" s="238"/>
      <c r="V49" s="688"/>
      <c r="W49" s="263"/>
      <c r="X49" s="688"/>
      <c r="Y49" s="1184"/>
      <c r="Z49" s="2256"/>
      <c r="AA49" s="2126" t="s">
        <v>66</v>
      </c>
      <c r="AB49" s="2256"/>
      <c r="AC49" s="2126" t="s">
        <v>66</v>
      </c>
      <c r="AD49" s="688"/>
      <c r="AE49" s="263"/>
      <c r="AF49" s="688"/>
      <c r="AG49" s="1184"/>
      <c r="AH49" s="2256"/>
      <c r="AI49" s="2126" t="s">
        <v>66</v>
      </c>
      <c r="AJ49" s="2258"/>
      <c r="AK49" s="2126" t="s">
        <v>66</v>
      </c>
      <c r="AL49" s="1275"/>
      <c r="AM49" s="2274" t="s">
        <v>416</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52"/>
      <c r="F50" s="2252"/>
      <c r="G50" s="2252"/>
      <c r="H50" s="2252"/>
      <c r="I50" s="2254"/>
      <c r="J50" s="2254"/>
      <c r="K50" s="2253"/>
      <c r="L50" s="1291"/>
      <c r="P50" s="2255"/>
      <c r="Q50" s="2255"/>
      <c r="R50" s="294"/>
      <c r="S50" s="1150"/>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437"/>
      <c r="AP50" s="437" t="str">
        <f t="shared" si="1"/>
        <v/>
      </c>
      <c r="AQ50" s="437"/>
      <c r="AR50" s="437"/>
      <c r="AS50" s="1082">
        <v>1</v>
      </c>
    </row>
    <row r="51" spans="1:45" ht="11.45" customHeight="1">
      <c r="A51" s="1290" t="s">
        <v>157</v>
      </c>
      <c r="B51" s="1290" t="s">
        <v>158</v>
      </c>
      <c r="C51" s="1290" t="s">
        <v>159</v>
      </c>
      <c r="D51" s="1290" t="s">
        <v>160</v>
      </c>
      <c r="E51" s="2252"/>
      <c r="F51" s="2252"/>
      <c r="G51" s="2252"/>
      <c r="H51" s="2252"/>
      <c r="I51" s="2254"/>
      <c r="J51" s="2253"/>
      <c r="K51" s="1290"/>
      <c r="L51" s="1291"/>
      <c r="P51" s="2255"/>
      <c r="Q51" s="225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76"/>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52"/>
      <c r="F52" s="2252"/>
      <c r="G52" s="2252"/>
      <c r="H52" s="2252"/>
      <c r="I52" s="2253"/>
      <c r="J52" s="1290"/>
      <c r="K52" s="1290"/>
      <c r="L52" s="1291"/>
      <c r="P52" s="2255"/>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52"/>
      <c r="F53" s="2252"/>
      <c r="G53" s="2252"/>
      <c r="H53" s="225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52"/>
      <c r="F54" s="2252"/>
      <c r="G54" s="2251"/>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52"/>
      <c r="F55" s="2251"/>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51"/>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27</v>
      </c>
    </row>
    <row r="60" spans="1:45" ht="67.150000000000006" customHeight="1">
      <c r="O60" s="474"/>
      <c r="P60" s="1230"/>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64</v>
      </c>
    </row>
    <row r="61" spans="1:45" ht="14.65" customHeight="1">
      <c r="O61" s="474"/>
      <c r="AS61" s="1082">
        <v>14</v>
      </c>
    </row>
    <row r="62" spans="1:45" ht="18.75" customHeight="1">
      <c r="O62" s="474"/>
      <c r="P62" s="1255"/>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82">
        <v>18</v>
      </c>
    </row>
    <row r="63" spans="1:45" ht="18.75" customHeight="1">
      <c r="O63" s="474"/>
      <c r="P63" s="1255"/>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82">
        <v>18</v>
      </c>
    </row>
    <row r="64" spans="1:45" ht="29.25" customHeight="1">
      <c r="O64" s="474"/>
      <c r="P64" s="1255"/>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opLeftCell="P25" zoomScale="90" workbookViewId="0">
      <selection activeCell="AF41" sqref="AF4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45" max="45" width="10.5703125" style="4" hidden="1"/>
    <col min="46" max="46" width="4" style="1562" customWidth="1"/>
    <col min="47" max="47" width="115" style="1562" customWidth="1"/>
    <col min="48" max="52" width="10" style="1569" customWidth="1"/>
    <col min="53" max="53" width="10.5703125" style="1562" hidden="1"/>
  </cols>
  <sheetData>
    <row r="1" spans="1:53" ht="22.5" hidden="1" customHeight="1">
      <c r="Y1" s="265"/>
      <c r="Z1" s="265"/>
      <c r="AG1" s="265"/>
      <c r="AH1" s="265"/>
      <c r="AL1" s="1562"/>
      <c r="AM1" s="1562"/>
      <c r="AN1" s="1562"/>
      <c r="AO1" s="1562"/>
      <c r="AP1" s="1562"/>
      <c r="AQ1" s="1562"/>
      <c r="AR1" s="1562"/>
      <c r="AS1" s="2045"/>
      <c r="BA1" s="1082" t="s">
        <v>14</v>
      </c>
    </row>
    <row r="2" spans="1:53" ht="21" hidden="1" customHeight="1">
      <c r="A2" s="1290"/>
      <c r="B2" s="1290"/>
      <c r="C2" s="1290"/>
      <c r="D2" s="1290"/>
      <c r="E2" s="2251">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5"/>
      <c r="AM2" s="2246"/>
      <c r="AN2" s="2246"/>
      <c r="AO2" s="2246"/>
      <c r="AP2" s="2246"/>
      <c r="AQ2" s="2246"/>
      <c r="AR2" s="2246"/>
      <c r="AS2" s="2279"/>
      <c r="AT2" s="2247"/>
      <c r="AU2" s="1185" t="s">
        <v>402</v>
      </c>
      <c r="AW2" s="437"/>
      <c r="AX2" s="437" t="str">
        <f t="shared" ref="AX2:AX15" si="0">IF(T2="","",T2)</f>
        <v>Наименование тарифа</v>
      </c>
      <c r="AY2" s="437"/>
      <c r="AZ2" s="437"/>
      <c r="BA2" s="1082">
        <v>0</v>
      </c>
    </row>
    <row r="3" spans="1:53" ht="21" hidden="1" customHeight="1">
      <c r="A3" s="1290"/>
      <c r="B3" s="1290"/>
      <c r="C3" s="1290"/>
      <c r="D3" s="1290"/>
      <c r="E3" s="2252"/>
      <c r="F3" s="225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5"/>
      <c r="AM3" s="2246"/>
      <c r="AN3" s="2246"/>
      <c r="AO3" s="2246"/>
      <c r="AP3" s="2246"/>
      <c r="AQ3" s="2246"/>
      <c r="AR3" s="2246"/>
      <c r="AS3" s="2279"/>
      <c r="AT3" s="2247"/>
      <c r="AU3" s="1185" t="s">
        <v>404</v>
      </c>
      <c r="AW3" s="437"/>
      <c r="AX3" s="437" t="str">
        <f t="shared" si="0"/>
        <v>Территория действия тарифа</v>
      </c>
      <c r="AY3" s="437"/>
      <c r="AZ3" s="437"/>
      <c r="BA3" s="1082">
        <v>0</v>
      </c>
    </row>
    <row r="4" spans="1:53" ht="23.25" hidden="1" customHeight="1">
      <c r="A4" s="1290"/>
      <c r="B4" s="1290"/>
      <c r="C4" s="1290"/>
      <c r="D4" s="1290"/>
      <c r="E4" s="2252"/>
      <c r="F4" s="2252"/>
      <c r="G4" s="2251">
        <v>1</v>
      </c>
      <c r="H4" s="1290"/>
      <c r="I4" s="1290"/>
      <c r="J4" s="1290"/>
      <c r="K4" s="1290"/>
      <c r="L4" s="1291"/>
      <c r="M4" s="1292"/>
      <c r="N4" s="1292"/>
      <c r="O4" s="1292"/>
      <c r="P4" s="291"/>
      <c r="Q4" s="289"/>
      <c r="R4" s="290"/>
      <c r="S4" s="1263"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5"/>
      <c r="AM4" s="2246"/>
      <c r="AN4" s="2246"/>
      <c r="AO4" s="2246"/>
      <c r="AP4" s="2246"/>
      <c r="AQ4" s="2246"/>
      <c r="AR4" s="2246"/>
      <c r="AS4" s="2279"/>
      <c r="AT4" s="2247"/>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52"/>
      <c r="F5" s="2252"/>
      <c r="G5" s="2252"/>
      <c r="H5" s="2251">
        <v>1</v>
      </c>
      <c r="I5" s="1290"/>
      <c r="J5" s="1290"/>
      <c r="K5" s="1290"/>
      <c r="L5" s="1291"/>
      <c r="M5" s="1292"/>
      <c r="N5" s="1292"/>
      <c r="O5" s="1292"/>
      <c r="P5" s="291"/>
      <c r="Q5" s="289"/>
      <c r="R5" s="290"/>
      <c r="S5" s="1263"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5"/>
      <c r="AM5" s="2246"/>
      <c r="AN5" s="2246"/>
      <c r="AO5" s="2246"/>
      <c r="AP5" s="2246"/>
      <c r="AQ5" s="2246"/>
      <c r="AR5" s="2246"/>
      <c r="AS5" s="2279"/>
      <c r="AT5" s="2247"/>
      <c r="AU5" s="1185" t="s">
        <v>408</v>
      </c>
      <c r="AW5" s="437"/>
      <c r="AX5" s="437" t="str">
        <f t="shared" si="0"/>
        <v xml:space="preserve">Источник тепловой энергии  </v>
      </c>
      <c r="AY5" s="437"/>
      <c r="AZ5" s="437"/>
      <c r="BA5" s="1082">
        <v>0</v>
      </c>
    </row>
    <row r="6" spans="1:53" ht="47.25" hidden="1" customHeight="1">
      <c r="A6" s="1290"/>
      <c r="B6" s="1290"/>
      <c r="C6" s="1290"/>
      <c r="D6" s="1290"/>
      <c r="E6" s="2252"/>
      <c r="F6" s="2252"/>
      <c r="G6" s="2252"/>
      <c r="H6" s="2252"/>
      <c r="I6" s="2253" t="e">
        <f>S5&amp;".1"</f>
        <v>#N/A</v>
      </c>
      <c r="J6" s="1290"/>
      <c r="K6" s="1290"/>
      <c r="L6" s="1291" t="s">
        <v>409</v>
      </c>
      <c r="M6" s="474"/>
      <c r="P6" s="2255">
        <v>1</v>
      </c>
      <c r="Q6" s="1258"/>
      <c r="R6" s="293"/>
      <c r="S6" s="1263" t="e">
        <f>$I6</f>
        <v>#N/A</v>
      </c>
      <c r="T6" s="223" t="s">
        <v>410</v>
      </c>
      <c r="U6" s="238"/>
      <c r="V6" s="2239"/>
      <c r="W6" s="2240"/>
      <c r="X6" s="2240"/>
      <c r="Y6" s="2240"/>
      <c r="Z6" s="2240"/>
      <c r="AA6" s="2240"/>
      <c r="AB6" s="2240"/>
      <c r="AC6" s="2241"/>
      <c r="AD6" s="2239"/>
      <c r="AE6" s="2240"/>
      <c r="AF6" s="2240"/>
      <c r="AG6" s="2240"/>
      <c r="AH6" s="2240"/>
      <c r="AI6" s="2240"/>
      <c r="AJ6" s="2240"/>
      <c r="AK6" s="2240"/>
      <c r="AL6" s="2239"/>
      <c r="AM6" s="2240"/>
      <c r="AN6" s="2240"/>
      <c r="AO6" s="2240"/>
      <c r="AP6" s="2240"/>
      <c r="AQ6" s="2240"/>
      <c r="AR6" s="2240"/>
      <c r="AS6" s="2278"/>
      <c r="AT6" s="2241"/>
      <c r="AU6" s="1185" t="s">
        <v>411</v>
      </c>
      <c r="AW6" s="437"/>
      <c r="AX6" s="437" t="str">
        <f t="shared" si="0"/>
        <v>Схема подключения теплопотребляющей установки к коллектору источника тепловой энергии</v>
      </c>
      <c r="AY6" s="437"/>
      <c r="AZ6" s="437"/>
      <c r="BA6" s="1082">
        <v>0</v>
      </c>
    </row>
    <row r="7" spans="1:53" ht="21" hidden="1" customHeight="1">
      <c r="A7" s="1290"/>
      <c r="B7" s="1290"/>
      <c r="C7" s="1290"/>
      <c r="D7" s="1290"/>
      <c r="E7" s="2252"/>
      <c r="F7" s="2252"/>
      <c r="G7" s="2252"/>
      <c r="H7" s="2252"/>
      <c r="I7" s="2254"/>
      <c r="J7" s="2253" t="e">
        <f>I6&amp;".1"</f>
        <v>#N/A</v>
      </c>
      <c r="K7" s="1290"/>
      <c r="L7" s="1291" t="s">
        <v>412</v>
      </c>
      <c r="M7" s="474"/>
      <c r="N7" s="1293"/>
      <c r="P7" s="2255"/>
      <c r="Q7" s="2255">
        <v>1</v>
      </c>
      <c r="R7" s="294"/>
      <c r="S7" s="1263" t="e">
        <f>$J7</f>
        <v>#N/A</v>
      </c>
      <c r="T7" s="224" t="s">
        <v>413</v>
      </c>
      <c r="U7" s="238"/>
      <c r="V7" s="2239"/>
      <c r="W7" s="2240"/>
      <c r="X7" s="2240"/>
      <c r="Y7" s="2240"/>
      <c r="Z7" s="2240"/>
      <c r="AA7" s="2240"/>
      <c r="AB7" s="2240"/>
      <c r="AC7" s="2241"/>
      <c r="AD7" s="2239"/>
      <c r="AE7" s="2240"/>
      <c r="AF7" s="2240"/>
      <c r="AG7" s="2240"/>
      <c r="AH7" s="2240"/>
      <c r="AI7" s="2240"/>
      <c r="AJ7" s="2240"/>
      <c r="AK7" s="2240"/>
      <c r="AL7" s="2239"/>
      <c r="AM7" s="2240"/>
      <c r="AN7" s="2240"/>
      <c r="AO7" s="2240"/>
      <c r="AP7" s="2240"/>
      <c r="AQ7" s="2240"/>
      <c r="AR7" s="2240"/>
      <c r="AS7" s="2278"/>
      <c r="AT7" s="2241"/>
      <c r="AU7" s="1185" t="s">
        <v>414</v>
      </c>
      <c r="AW7" s="437"/>
      <c r="AX7" s="437" t="str">
        <f t="shared" si="0"/>
        <v>Группа потребителей</v>
      </c>
      <c r="AY7" s="437"/>
      <c r="AZ7" s="437"/>
      <c r="BA7" s="1082">
        <v>0</v>
      </c>
    </row>
    <row r="8" spans="1:53" ht="21" hidden="1" customHeight="1">
      <c r="A8" s="1290"/>
      <c r="B8" s="1290"/>
      <c r="C8" s="1290"/>
      <c r="D8" s="1290"/>
      <c r="E8" s="2252"/>
      <c r="F8" s="2252"/>
      <c r="G8" s="2252"/>
      <c r="H8" s="2252"/>
      <c r="I8" s="2254"/>
      <c r="J8" s="2254"/>
      <c r="K8" s="2253" t="e">
        <f>J7&amp;".1"</f>
        <v>#N/A</v>
      </c>
      <c r="L8" s="1291" t="s">
        <v>415</v>
      </c>
      <c r="M8" s="474"/>
      <c r="N8" s="1293"/>
      <c r="O8" s="1293"/>
      <c r="P8" s="2255"/>
      <c r="Q8" s="2255"/>
      <c r="R8" s="294">
        <v>1</v>
      </c>
      <c r="S8" s="1263" t="e">
        <f>$K8</f>
        <v>#N/A</v>
      </c>
      <c r="T8" s="1274"/>
      <c r="U8" s="238"/>
      <c r="V8" s="688"/>
      <c r="W8" s="263"/>
      <c r="X8" s="688"/>
      <c r="Y8" s="1184"/>
      <c r="Z8" s="2256"/>
      <c r="AA8" s="2126" t="s">
        <v>66</v>
      </c>
      <c r="AB8" s="2256"/>
      <c r="AC8" s="2126" t="s">
        <v>66</v>
      </c>
      <c r="AD8" s="688"/>
      <c r="AE8" s="263"/>
      <c r="AF8" s="688"/>
      <c r="AG8" s="1184"/>
      <c r="AH8" s="2256"/>
      <c r="AI8" s="2126" t="s">
        <v>66</v>
      </c>
      <c r="AJ8" s="2256"/>
      <c r="AK8" s="2126" t="s">
        <v>66</v>
      </c>
      <c r="AL8" s="688"/>
      <c r="AM8" s="263"/>
      <c r="AN8" s="688"/>
      <c r="AO8" s="1184"/>
      <c r="AP8" s="2256"/>
      <c r="AQ8" s="2126" t="s">
        <v>66</v>
      </c>
      <c r="AR8" s="2256"/>
      <c r="AS8" s="2281" t="s">
        <v>66</v>
      </c>
      <c r="AT8" s="263"/>
      <c r="AU8" s="2274" t="s">
        <v>416</v>
      </c>
      <c r="AV8" s="448" t="e">
        <f ca="1">STRCHECKDATE(V9:AT9)</f>
        <v>#NAME?</v>
      </c>
      <c r="AW8" s="437"/>
      <c r="AX8" s="437" t="str">
        <f t="shared" si="0"/>
        <v/>
      </c>
      <c r="AY8" s="437"/>
      <c r="AZ8" s="437"/>
      <c r="BA8" s="1082">
        <v>0</v>
      </c>
    </row>
    <row r="9" spans="1:53" ht="0.75" hidden="1" customHeight="1">
      <c r="A9" s="1290"/>
      <c r="B9" s="1290"/>
      <c r="C9" s="1290"/>
      <c r="D9" s="1290"/>
      <c r="E9" s="2252"/>
      <c r="F9" s="2252"/>
      <c r="G9" s="2252"/>
      <c r="H9" s="2252"/>
      <c r="I9" s="2254"/>
      <c r="J9" s="2254"/>
      <c r="K9" s="2253"/>
      <c r="L9" s="1291"/>
      <c r="M9" s="474"/>
      <c r="N9" s="1293"/>
      <c r="O9" s="1293"/>
      <c r="P9" s="2255"/>
      <c r="Q9" s="2255"/>
      <c r="R9" s="294"/>
      <c r="S9" s="126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63"/>
      <c r="AN9" s="263"/>
      <c r="AO9" s="266" t="str">
        <f>AP8&amp;"-"&amp;AR8</f>
        <v>-</v>
      </c>
      <c r="AP9" s="2257"/>
      <c r="AQ9" s="2126"/>
      <c r="AR9" s="2257"/>
      <c r="AS9" s="2126"/>
      <c r="AT9" s="263"/>
      <c r="AU9" s="2275"/>
      <c r="AW9" s="437"/>
      <c r="AX9" s="437" t="str">
        <f t="shared" si="0"/>
        <v/>
      </c>
      <c r="AY9" s="437"/>
      <c r="AZ9" s="437"/>
      <c r="BA9" s="1082">
        <v>0</v>
      </c>
    </row>
    <row r="10" spans="1:53" ht="15" hidden="1" customHeight="1">
      <c r="A10" s="1290"/>
      <c r="B10" s="1290"/>
      <c r="C10" s="1290"/>
      <c r="D10" s="1290"/>
      <c r="E10" s="2252"/>
      <c r="F10" s="2252"/>
      <c r="G10" s="2252"/>
      <c r="H10" s="2252"/>
      <c r="I10" s="2254"/>
      <c r="J10" s="2253"/>
      <c r="K10" s="1290"/>
      <c r="L10" s="1291"/>
      <c r="M10" s="474"/>
      <c r="N10" s="1293"/>
      <c r="P10" s="2255"/>
      <c r="Q10" s="2255"/>
      <c r="R10" s="293"/>
      <c r="S10" s="1205"/>
      <c r="T10" s="226" t="s">
        <v>417</v>
      </c>
      <c r="U10" s="304"/>
      <c r="V10" s="304"/>
      <c r="W10" s="304"/>
      <c r="X10" s="304"/>
      <c r="Y10" s="304"/>
      <c r="Z10" s="304"/>
      <c r="AA10" s="304"/>
      <c r="AB10" s="304"/>
      <c r="AC10" s="304"/>
      <c r="AD10" s="304"/>
      <c r="AE10" s="304"/>
      <c r="AF10" s="304"/>
      <c r="AG10" s="304"/>
      <c r="AH10" s="304"/>
      <c r="AI10" s="304"/>
      <c r="AJ10" s="304"/>
      <c r="AK10" s="304"/>
      <c r="AL10" s="2044"/>
      <c r="AM10" s="2044"/>
      <c r="AN10" s="2044"/>
      <c r="AO10" s="2044"/>
      <c r="AP10" s="2044"/>
      <c r="AQ10" s="2044"/>
      <c r="AR10" s="2044"/>
      <c r="AS10" s="2046"/>
      <c r="AT10" s="262"/>
      <c r="AU10" s="2276"/>
      <c r="AW10" s="437"/>
      <c r="AX10" s="437" t="str">
        <f t="shared" si="0"/>
        <v>Добавить вид теплоносителя (параметры теплоносителя)</v>
      </c>
      <c r="AY10" s="437"/>
      <c r="AZ10" s="437"/>
      <c r="BA10" s="1082">
        <v>0</v>
      </c>
    </row>
    <row r="11" spans="1:53" ht="15" hidden="1" customHeight="1">
      <c r="A11" s="1290"/>
      <c r="B11" s="1290"/>
      <c r="C11" s="1290"/>
      <c r="D11" s="1290"/>
      <c r="E11" s="2252"/>
      <c r="F11" s="2252"/>
      <c r="G11" s="2252"/>
      <c r="H11" s="2252"/>
      <c r="I11" s="2253"/>
      <c r="J11" s="1290"/>
      <c r="K11" s="1290"/>
      <c r="L11" s="1291"/>
      <c r="M11" s="474"/>
      <c r="P11" s="2255"/>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2044"/>
      <c r="AM11" s="2044"/>
      <c r="AN11" s="2044"/>
      <c r="AO11" s="2044"/>
      <c r="AP11" s="2044"/>
      <c r="AQ11" s="2044"/>
      <c r="AR11" s="2044"/>
      <c r="AS11" s="2047"/>
      <c r="AT11" s="304"/>
      <c r="AU11" s="241"/>
      <c r="AW11" s="437"/>
      <c r="AX11" s="437" t="str">
        <f t="shared" si="0"/>
        <v>Добавить группу потребителей</v>
      </c>
      <c r="AY11" s="437"/>
      <c r="AZ11" s="437"/>
      <c r="BA11" s="1082">
        <v>0</v>
      </c>
    </row>
    <row r="12" spans="1:53" ht="14.25" hidden="1" customHeight="1">
      <c r="A12" s="1290"/>
      <c r="B12" s="1290"/>
      <c r="C12" s="1290"/>
      <c r="D12" s="1290"/>
      <c r="E12" s="2252"/>
      <c r="F12" s="2252"/>
      <c r="G12" s="2252"/>
      <c r="H12" s="225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2044"/>
      <c r="AM12" s="2044"/>
      <c r="AN12" s="2044"/>
      <c r="AO12" s="2044"/>
      <c r="AP12" s="2044"/>
      <c r="AQ12" s="2044"/>
      <c r="AR12" s="2044"/>
      <c r="AS12" s="2047"/>
      <c r="AT12" s="304"/>
      <c r="AU12" s="241"/>
      <c r="AW12" s="437"/>
      <c r="AX12" s="437" t="str">
        <f t="shared" si="0"/>
        <v>Добавить схему подключения</v>
      </c>
      <c r="AY12" s="437"/>
      <c r="AZ12" s="437"/>
      <c r="BA12" s="1082">
        <v>0</v>
      </c>
    </row>
    <row r="13" spans="1:53" s="1569" customFormat="1" ht="0.75" hidden="1" customHeight="1">
      <c r="A13" s="1241"/>
      <c r="B13" s="1241"/>
      <c r="C13" s="1241"/>
      <c r="D13" s="1241"/>
      <c r="E13" s="2252"/>
      <c r="F13" s="2252"/>
      <c r="G13" s="2251"/>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2048"/>
      <c r="AT13" s="1247"/>
      <c r="AU13" s="1247"/>
      <c r="AW13" s="720"/>
      <c r="AX13" s="720" t="str">
        <f t="shared" si="0"/>
        <v>Добавить источник для дифференциации</v>
      </c>
      <c r="AY13" s="720"/>
      <c r="AZ13" s="720"/>
      <c r="BA13" s="455">
        <v>0</v>
      </c>
    </row>
    <row r="14" spans="1:53" s="1569" customFormat="1" ht="0.75" hidden="1" customHeight="1">
      <c r="A14" s="1241"/>
      <c r="B14" s="1241"/>
      <c r="C14" s="1241"/>
      <c r="D14" s="1241"/>
      <c r="E14" s="2252"/>
      <c r="F14" s="2251"/>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2049"/>
      <c r="AT14" s="1251"/>
      <c r="AU14" s="1251"/>
      <c r="AW14" s="720"/>
      <c r="AX14" s="720" t="str">
        <f t="shared" si="0"/>
        <v>Добавить централизованную систему для дифференциации</v>
      </c>
      <c r="AY14" s="720"/>
      <c r="AZ14" s="720"/>
      <c r="BA14" s="455">
        <v>0</v>
      </c>
    </row>
    <row r="15" spans="1:53" s="1569" customFormat="1" ht="0.75" hidden="1" customHeight="1">
      <c r="A15" s="1241"/>
      <c r="B15" s="1241"/>
      <c r="C15" s="1241"/>
      <c r="D15" s="1241"/>
      <c r="E15" s="2251"/>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2049"/>
      <c r="AT15" s="1251"/>
      <c r="AU15" s="1251"/>
      <c r="AW15" s="720"/>
      <c r="AX15" s="720" t="str">
        <f t="shared" si="0"/>
        <v>Добавить территорию для дифференциации</v>
      </c>
      <c r="AY15" s="720"/>
      <c r="AZ15" s="720"/>
      <c r="BA15" s="455">
        <v>0</v>
      </c>
    </row>
    <row r="16" spans="1:53" ht="14.25" hidden="1" customHeight="1">
      <c r="AC16" s="265"/>
      <c r="AK16" s="265"/>
      <c r="AL16" s="1562"/>
      <c r="AM16" s="1562"/>
      <c r="AN16" s="1562"/>
      <c r="AO16" s="1562"/>
      <c r="AP16" s="1562"/>
      <c r="AQ16" s="1562"/>
      <c r="AR16" s="1562"/>
      <c r="AS16" s="2045"/>
      <c r="BA16" s="1082">
        <v>0</v>
      </c>
    </row>
    <row r="17" spans="1:53" ht="14.25" hidden="1" customHeight="1">
      <c r="AD17" s="1287"/>
      <c r="AE17" s="1287"/>
      <c r="AF17" s="1287"/>
      <c r="AG17" s="1288"/>
      <c r="AH17" s="2249"/>
      <c r="AI17" s="2248" t="s">
        <v>66</v>
      </c>
      <c r="AJ17" s="2249"/>
      <c r="AK17" s="2248" t="s">
        <v>66</v>
      </c>
      <c r="AL17" s="1562"/>
      <c r="AM17" s="1562"/>
      <c r="AN17" s="1562"/>
      <c r="AO17" s="1562"/>
      <c r="AP17" s="1562"/>
      <c r="AQ17" s="1562"/>
      <c r="AR17" s="1562"/>
      <c r="AS17" s="2045"/>
      <c r="BA17" s="1082">
        <v>0</v>
      </c>
    </row>
    <row r="18" spans="1:53" ht="14.25" hidden="1" customHeight="1">
      <c r="AD18" s="1287"/>
      <c r="AE18" s="1287"/>
      <c r="AF18" s="1287"/>
      <c r="AG18" s="266" t="str">
        <f>AH17&amp;"-"&amp;AJ17</f>
        <v>-</v>
      </c>
      <c r="AH18" s="2248"/>
      <c r="AI18" s="2248"/>
      <c r="AJ18" s="2248"/>
      <c r="AK18" s="2248"/>
      <c r="AL18" s="1562"/>
      <c r="AM18" s="1562"/>
      <c r="AN18" s="1562"/>
      <c r="AO18" s="1562"/>
      <c r="AP18" s="1562"/>
      <c r="AQ18" s="1562"/>
      <c r="AR18" s="1562"/>
      <c r="AS18" s="2045"/>
      <c r="BA18" s="1082">
        <v>0</v>
      </c>
    </row>
    <row r="19" spans="1:53" ht="14.25" hidden="1" customHeight="1">
      <c r="AK19" s="265"/>
      <c r="AL19" s="1562"/>
      <c r="AM19" s="1562"/>
      <c r="AN19" s="1562"/>
      <c r="AO19" s="1562"/>
      <c r="AP19" s="1562"/>
      <c r="AQ19" s="1562"/>
      <c r="AR19" s="1562"/>
      <c r="AS19" s="2045"/>
      <c r="BA19" s="1082">
        <v>0</v>
      </c>
    </row>
    <row r="20" spans="1:53" s="1293" customFormat="1" ht="22.5" hidden="1" customHeight="1">
      <c r="L20" s="1256"/>
      <c r="M20" s="1289"/>
      <c r="N20" s="1289"/>
      <c r="O20" s="1294" t="s">
        <v>420</v>
      </c>
      <c r="P20" s="1289"/>
      <c r="Q20" s="1298"/>
      <c r="R20" s="1298"/>
      <c r="S20" s="666"/>
      <c r="Z20" s="1294"/>
      <c r="AB20" s="1294"/>
      <c r="AH20" s="1294"/>
      <c r="AJ20" s="1294"/>
      <c r="AP20" s="1294"/>
      <c r="AR20" s="1294"/>
      <c r="AS20" s="2050"/>
      <c r="AV20" s="448"/>
      <c r="AW20" s="448"/>
      <c r="AX20" s="448"/>
      <c r="AY20" s="448"/>
      <c r="AZ20" s="448"/>
      <c r="BA20" s="1087">
        <v>0</v>
      </c>
    </row>
    <row r="21" spans="1:53" s="1293" customFormat="1" ht="14.25" hidden="1" customHeight="1">
      <c r="L21" s="1256"/>
      <c r="M21" s="1289"/>
      <c r="N21" s="1289"/>
      <c r="O21" s="1289"/>
      <c r="P21" s="1289"/>
      <c r="Q21" s="1298"/>
      <c r="R21" s="1298"/>
      <c r="S21" s="666"/>
      <c r="AS21" s="2050"/>
      <c r="AV21" s="448"/>
      <c r="AW21" s="448"/>
      <c r="AX21" s="448"/>
      <c r="AY21" s="448"/>
      <c r="AZ21" s="448"/>
      <c r="BA21" s="1087">
        <v>0</v>
      </c>
    </row>
    <row r="22" spans="1:53"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Q22" s="1297" t="s">
        <v>423</v>
      </c>
      <c r="AS22" s="2051" t="s">
        <v>424</v>
      </c>
      <c r="AV22" s="448"/>
      <c r="AW22" s="448"/>
      <c r="AX22" s="448"/>
      <c r="AY22" s="448"/>
      <c r="AZ22" s="448"/>
      <c r="BA22" s="1087">
        <v>0</v>
      </c>
    </row>
    <row r="23" spans="1:53" ht="14.25" hidden="1" customHeight="1">
      <c r="O23" s="1291"/>
      <c r="AL23" s="1562"/>
      <c r="AM23" s="1562"/>
      <c r="AN23" s="1562"/>
      <c r="AO23" s="1562"/>
      <c r="AP23" s="1562"/>
      <c r="AQ23" s="1562"/>
      <c r="AR23" s="1562"/>
      <c r="AS23" s="2045"/>
      <c r="BA23" s="1082">
        <v>0</v>
      </c>
    </row>
    <row r="24" spans="1:53" ht="14.25" hidden="1" customHeight="1">
      <c r="O24" s="1291"/>
      <c r="AL24" s="1562"/>
      <c r="AM24" s="1562"/>
      <c r="AN24" s="1562"/>
      <c r="AO24" s="1562"/>
      <c r="AP24" s="1562"/>
      <c r="AQ24" s="1562"/>
      <c r="AR24" s="1562"/>
      <c r="AS24" s="2045"/>
      <c r="BA24" s="1082">
        <v>0</v>
      </c>
    </row>
    <row r="25" spans="1:53"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2045"/>
      <c r="BA25" s="1082">
        <v>14</v>
      </c>
    </row>
    <row r="26" spans="1:53" ht="14.65" customHeight="1">
      <c r="Q26" s="313"/>
      <c r="R26" s="313"/>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70"/>
      <c r="AL26" s="2003"/>
      <c r="AM26" s="2003"/>
      <c r="AN26" s="2003"/>
      <c r="AO26" s="2003"/>
      <c r="AP26" s="2003"/>
      <c r="AQ26" s="2003"/>
      <c r="AR26" s="2003"/>
      <c r="AS26" s="2052"/>
      <c r="BA26" s="1082">
        <v>14</v>
      </c>
    </row>
    <row r="27" spans="1:53"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L27" s="2004"/>
      <c r="AM27" s="2004"/>
      <c r="AN27" s="2004"/>
      <c r="AO27" s="2004"/>
      <c r="AP27" s="2004"/>
      <c r="AQ27" s="2004"/>
      <c r="AR27" s="2004"/>
      <c r="AS27" s="2053"/>
      <c r="BA27" s="1082">
        <v>14</v>
      </c>
    </row>
    <row r="28" spans="1:53"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054"/>
      <c r="AT28" s="446"/>
      <c r="BA28" s="1082">
        <v>0</v>
      </c>
    </row>
    <row r="29" spans="1:53" s="1778" customFormat="1" ht="25.5" hidden="1" customHeight="1">
      <c r="A29" s="1295"/>
      <c r="B29" s="1295"/>
      <c r="C29" s="1295"/>
      <c r="D29" s="1295"/>
      <c r="E29" s="1295"/>
      <c r="F29" s="1295"/>
      <c r="G29" s="1295"/>
      <c r="H29" s="1295"/>
      <c r="I29" s="1295"/>
      <c r="J29" s="1295"/>
      <c r="K29" s="1295"/>
      <c r="L29" s="1296"/>
      <c r="M29" s="1295"/>
      <c r="N29" s="1295"/>
      <c r="O29" s="1295"/>
      <c r="S29" s="2242" t="s">
        <v>42</v>
      </c>
      <c r="T29" s="2242"/>
      <c r="U29" s="1299"/>
      <c r="V29" s="2244" t="str">
        <f>IF(TITLE_NAME_OR_PR_CHANGE="",IF(TITLE_NAME_OR_PR="","",TITLE_NAME_OR_PR),TITLE_NAME_OR_PR_CHANGE)</f>
        <v/>
      </c>
      <c r="W29" s="2244"/>
      <c r="X29" s="2244"/>
      <c r="Y29" s="2244"/>
      <c r="Z29" s="2244"/>
      <c r="AA29" s="2244"/>
      <c r="AB29" s="2244"/>
      <c r="AC29" s="264"/>
      <c r="AD29" s="2244" t="str">
        <f>IF(TITLE_NAME_OR_PR_CHANGE="",IF(TITLE_NAME_OR_PR="","",TITLE_NAME_OR_PR),TITLE_NAME_OR_PR_CHANGE)</f>
        <v/>
      </c>
      <c r="AE29" s="2244"/>
      <c r="AF29" s="2244"/>
      <c r="AG29" s="2244"/>
      <c r="AH29" s="2244"/>
      <c r="AI29" s="2244"/>
      <c r="AJ29" s="2244"/>
      <c r="AK29" s="264"/>
      <c r="AL29" s="2244" t="str">
        <f>IF(TITLE_NAME_OR_PR_CHANGE="",IF(TITLE_NAME_OR_PR="","",TITLE_NAME_OR_PR),TITLE_NAME_OR_PR_CHANGE)</f>
        <v/>
      </c>
      <c r="AM29" s="2244"/>
      <c r="AN29" s="2244"/>
      <c r="AO29" s="2244"/>
      <c r="AP29" s="2244"/>
      <c r="AQ29" s="2244"/>
      <c r="AR29" s="2244"/>
      <c r="AS29" s="2045"/>
      <c r="AT29" s="264"/>
      <c r="AU29" s="218"/>
      <c r="AV29" s="305"/>
      <c r="AW29" s="305"/>
      <c r="AX29" s="305"/>
      <c r="AY29" s="305"/>
      <c r="AZ29" s="305"/>
      <c r="BA29" s="355">
        <v>0</v>
      </c>
    </row>
    <row r="30" spans="1:53" s="1778" customFormat="1" ht="18.75" hidden="1" customHeight="1">
      <c r="A30" s="1295"/>
      <c r="B30" s="1295"/>
      <c r="C30" s="1295"/>
      <c r="D30" s="1295"/>
      <c r="E30" s="1295"/>
      <c r="F30" s="1295"/>
      <c r="G30" s="1295"/>
      <c r="H30" s="1295"/>
      <c r="I30" s="1295"/>
      <c r="J30" s="1295"/>
      <c r="K30" s="1295"/>
      <c r="L30" s="1296"/>
      <c r="M30" s="1295"/>
      <c r="N30" s="1295"/>
      <c r="O30" s="1295"/>
      <c r="S30" s="2242" t="s">
        <v>426</v>
      </c>
      <c r="T30" s="2242"/>
      <c r="U30" s="1299"/>
      <c r="V30" s="2243">
        <f>IF(TITLE_DATE_PR_CHANGE="",IF(TITLE_DATE_PR="","",TITLE_DATE_PR),TITLE_DATE_PR_CHANGE)</f>
        <v>45777</v>
      </c>
      <c r="W30" s="2243"/>
      <c r="X30" s="2243"/>
      <c r="Y30" s="2243"/>
      <c r="Z30" s="2243"/>
      <c r="AA30" s="2243"/>
      <c r="AB30" s="2243"/>
      <c r="AC30" s="264"/>
      <c r="AD30" s="2243">
        <f>IF(TITLE_DATE_PR_CHANGE="",IF(TITLE_DATE_PR="","",TITLE_DATE_PR),TITLE_DATE_PR_CHANGE)</f>
        <v>45777</v>
      </c>
      <c r="AE30" s="2243"/>
      <c r="AF30" s="2243"/>
      <c r="AG30" s="2243"/>
      <c r="AH30" s="2243"/>
      <c r="AI30" s="2243"/>
      <c r="AJ30" s="2243"/>
      <c r="AK30" s="264"/>
      <c r="AL30" s="2243">
        <f>IF(TITLE_DATE_PR_CHANGE="",IF(TITLE_DATE_PR="","",TITLE_DATE_PR),TITLE_DATE_PR_CHANGE)</f>
        <v>45777</v>
      </c>
      <c r="AM30" s="2243"/>
      <c r="AN30" s="2243"/>
      <c r="AO30" s="2243"/>
      <c r="AP30" s="2243"/>
      <c r="AQ30" s="2243"/>
      <c r="AR30" s="2243"/>
      <c r="AS30" s="2045"/>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S31" s="2242" t="s">
        <v>427</v>
      </c>
      <c r="T31" s="2242"/>
      <c r="U31" s="1299"/>
      <c r="V31" s="2244" t="str">
        <f>IF(TITLE_NUMBER_PR_CHANGE="",IF(TITLE_NUMBER_PR="","",TITLE_NUMBER_PR),TITLE_NUMBER_PR_CHANGE)</f>
        <v>466</v>
      </c>
      <c r="W31" s="2244"/>
      <c r="X31" s="2244"/>
      <c r="Y31" s="2244"/>
      <c r="Z31" s="2244"/>
      <c r="AA31" s="2244"/>
      <c r="AB31" s="2244"/>
      <c r="AC31" s="264"/>
      <c r="AD31" s="2244" t="str">
        <f>IF(TITLE_NUMBER_PR_CHANGE="",IF(TITLE_NUMBER_PR="","",TITLE_NUMBER_PR),TITLE_NUMBER_PR_CHANGE)</f>
        <v>466</v>
      </c>
      <c r="AE31" s="2244"/>
      <c r="AF31" s="2244"/>
      <c r="AG31" s="2244"/>
      <c r="AH31" s="2244"/>
      <c r="AI31" s="2244"/>
      <c r="AJ31" s="2244"/>
      <c r="AK31" s="264"/>
      <c r="AL31" s="2244" t="str">
        <f>IF(TITLE_NUMBER_PR_CHANGE="",IF(TITLE_NUMBER_PR="","",TITLE_NUMBER_PR),TITLE_NUMBER_PR_CHANGE)</f>
        <v>466</v>
      </c>
      <c r="AM31" s="2244"/>
      <c r="AN31" s="2244"/>
      <c r="AO31" s="2244"/>
      <c r="AP31" s="2244"/>
      <c r="AQ31" s="2244"/>
      <c r="AR31" s="2244"/>
      <c r="AS31" s="2045"/>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S32" s="2242" t="s">
        <v>43</v>
      </c>
      <c r="T32" s="2242"/>
      <c r="U32" s="1299"/>
      <c r="V32" s="2244" t="str">
        <f>IF(TITLE_IST_PUB_CHANGE="",IF(TITLE_IST_PUB="","",TITLE_IST_PUB),TITLE_IST_PUB_CHANGE)</f>
        <v/>
      </c>
      <c r="W32" s="2244"/>
      <c r="X32" s="2244"/>
      <c r="Y32" s="2244"/>
      <c r="Z32" s="2244"/>
      <c r="AA32" s="2244"/>
      <c r="AB32" s="2244"/>
      <c r="AC32" s="264"/>
      <c r="AD32" s="2244" t="str">
        <f>IF(TITLE_IST_PUB_CHANGE="",IF(TITLE_IST_PUB="","",TITLE_IST_PUB),TITLE_IST_PUB_CHANGE)</f>
        <v/>
      </c>
      <c r="AE32" s="2244"/>
      <c r="AF32" s="2244"/>
      <c r="AG32" s="2244"/>
      <c r="AH32" s="2244"/>
      <c r="AI32" s="2244"/>
      <c r="AJ32" s="2244"/>
      <c r="AK32" s="264"/>
      <c r="AL32" s="2244" t="str">
        <f>IF(TITLE_IST_PUB_CHANGE="",IF(TITLE_IST_PUB="","",TITLE_IST_PUB),TITLE_IST_PUB_CHANGE)</f>
        <v/>
      </c>
      <c r="AM32" s="2244"/>
      <c r="AN32" s="2244"/>
      <c r="AO32" s="2244"/>
      <c r="AP32" s="2244"/>
      <c r="AQ32" s="2244"/>
      <c r="AR32" s="2244"/>
      <c r="AS32" s="2045"/>
      <c r="AT32" s="264"/>
      <c r="AU32" s="218"/>
      <c r="AV32" s="305"/>
      <c r="AW32" s="305"/>
      <c r="AX32" s="305"/>
      <c r="AY32" s="305"/>
      <c r="AZ32" s="305"/>
      <c r="BA32" s="355">
        <v>0</v>
      </c>
    </row>
    <row r="33" spans="1:53"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054"/>
      <c r="AT33" s="446"/>
      <c r="BA33" s="1082">
        <v>0</v>
      </c>
    </row>
    <row r="34" spans="1:53" s="1778" customFormat="1" ht="18.75" customHeight="1">
      <c r="A34" s="1295"/>
      <c r="B34" s="1295"/>
      <c r="C34" s="1295"/>
      <c r="D34" s="1295"/>
      <c r="E34" s="1295"/>
      <c r="F34" s="1295"/>
      <c r="G34" s="1295"/>
      <c r="H34" s="1295"/>
      <c r="I34" s="1295"/>
      <c r="J34" s="1295"/>
      <c r="K34" s="1295"/>
      <c r="L34" s="1296"/>
      <c r="M34" s="1295"/>
      <c r="N34" s="1295"/>
      <c r="O34" s="1295"/>
      <c r="S34" s="2242" t="s">
        <v>428</v>
      </c>
      <c r="T34" s="2242"/>
      <c r="U34" s="1299"/>
      <c r="V34" s="2243">
        <f>IF(TITLE_DATE_PR_CHANGE="",IF(TITLE_DATE_PR="","",TITLE_DATE_PR),TITLE_DATE_PR_CHANGE)</f>
        <v>45777</v>
      </c>
      <c r="W34" s="2243"/>
      <c r="X34" s="2243"/>
      <c r="Y34" s="2243"/>
      <c r="Z34" s="2243"/>
      <c r="AA34" s="2243"/>
      <c r="AB34" s="2243"/>
      <c r="AC34" s="264"/>
      <c r="AD34" s="2243">
        <f>IF(TITLE_DATE_PR_CHANGE="",IF(TITLE_DATE_PR="","",TITLE_DATE_PR),TITLE_DATE_PR_CHANGE)</f>
        <v>45777</v>
      </c>
      <c r="AE34" s="2243"/>
      <c r="AF34" s="2243"/>
      <c r="AG34" s="2243"/>
      <c r="AH34" s="2243"/>
      <c r="AI34" s="2243"/>
      <c r="AJ34" s="2243"/>
      <c r="AK34" s="264"/>
      <c r="AL34" s="2243">
        <f>IF(TITLE_DATE_PR_CHANGE="",IF(TITLE_DATE_PR="","",TITLE_DATE_PR),TITLE_DATE_PR_CHANGE)</f>
        <v>45777</v>
      </c>
      <c r="AM34" s="2243"/>
      <c r="AN34" s="2243"/>
      <c r="AO34" s="2243"/>
      <c r="AP34" s="2243"/>
      <c r="AQ34" s="2243"/>
      <c r="AR34" s="2243"/>
      <c r="AS34" s="2045"/>
      <c r="AT34" s="264"/>
      <c r="AU34" s="218"/>
      <c r="AV34" s="305"/>
      <c r="AW34" s="305"/>
      <c r="AX34" s="305"/>
      <c r="AY34" s="305"/>
      <c r="AZ34" s="305"/>
      <c r="BA34" s="355">
        <v>0</v>
      </c>
    </row>
    <row r="35" spans="1:53" s="1778" customFormat="1" ht="18.75" customHeight="1">
      <c r="A35" s="1295"/>
      <c r="B35" s="1295"/>
      <c r="C35" s="1295"/>
      <c r="D35" s="1295"/>
      <c r="E35" s="1295"/>
      <c r="F35" s="1295"/>
      <c r="G35" s="1295"/>
      <c r="H35" s="1295"/>
      <c r="I35" s="1295"/>
      <c r="J35" s="1295"/>
      <c r="K35" s="1295"/>
      <c r="L35" s="1296"/>
      <c r="M35" s="1295"/>
      <c r="N35" s="1295"/>
      <c r="O35" s="1295"/>
      <c r="S35" s="2242" t="s">
        <v>429</v>
      </c>
      <c r="T35" s="2242"/>
      <c r="U35" s="1299"/>
      <c r="V35" s="2244" t="str">
        <f>IF(TITLE_NUMBER_PR_CHANGE="",IF(TITLE_NUMBER_PR="","",TITLE_NUMBER_PR),TITLE_NUMBER_PR_CHANGE)</f>
        <v>466</v>
      </c>
      <c r="W35" s="2244"/>
      <c r="X35" s="2244"/>
      <c r="Y35" s="2244"/>
      <c r="Z35" s="2244"/>
      <c r="AA35" s="2244"/>
      <c r="AB35" s="2244"/>
      <c r="AC35" s="264"/>
      <c r="AD35" s="2244" t="str">
        <f>IF(TITLE_NUMBER_PR_CHANGE="",IF(TITLE_NUMBER_PR="","",TITLE_NUMBER_PR),TITLE_NUMBER_PR_CHANGE)</f>
        <v>466</v>
      </c>
      <c r="AE35" s="2244"/>
      <c r="AF35" s="2244"/>
      <c r="AG35" s="2244"/>
      <c r="AH35" s="2244"/>
      <c r="AI35" s="2244"/>
      <c r="AJ35" s="2244"/>
      <c r="AK35" s="264"/>
      <c r="AL35" s="2244" t="str">
        <f>IF(TITLE_NUMBER_PR_CHANGE="",IF(TITLE_NUMBER_PR="","",TITLE_NUMBER_PR),TITLE_NUMBER_PR_CHANGE)</f>
        <v>466</v>
      </c>
      <c r="AM35" s="2244"/>
      <c r="AN35" s="2244"/>
      <c r="AO35" s="2244"/>
      <c r="AP35" s="2244"/>
      <c r="AQ35" s="2244"/>
      <c r="AR35" s="2244"/>
      <c r="AS35" s="2045"/>
      <c r="AT35" s="264"/>
      <c r="AU35" s="218"/>
      <c r="AV35" s="305"/>
      <c r="AW35" s="305"/>
      <c r="AX35" s="305"/>
      <c r="AY35" s="305"/>
      <c r="AZ35" s="305"/>
      <c r="BA35" s="355">
        <v>0</v>
      </c>
    </row>
    <row r="36" spans="1:53"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L36" s="1562"/>
      <c r="AM36" s="1562"/>
      <c r="AN36" s="1562"/>
      <c r="AO36" s="1562"/>
      <c r="AP36" s="1562"/>
      <c r="AQ36" s="1562"/>
      <c r="AR36" s="1562"/>
      <c r="AS36" s="2055" t="s">
        <v>430</v>
      </c>
      <c r="AV36" s="305"/>
      <c r="AW36" s="305"/>
      <c r="AX36" s="305"/>
      <c r="AY36" s="305"/>
      <c r="AZ36" s="305"/>
      <c r="BA36" s="355">
        <v>0</v>
      </c>
    </row>
    <row r="37" spans="1:53" ht="14.65" customHeight="1">
      <c r="Q37" s="313"/>
      <c r="R37" s="313"/>
      <c r="S37" s="1202"/>
      <c r="T37" s="300"/>
      <c r="U37" s="1171"/>
      <c r="V37" s="2263"/>
      <c r="W37" s="2263"/>
      <c r="X37" s="2263"/>
      <c r="Y37" s="2263"/>
      <c r="Z37" s="2263"/>
      <c r="AA37" s="2263"/>
      <c r="AB37" s="2263"/>
      <c r="AC37" s="2263"/>
      <c r="AD37" s="2263"/>
      <c r="AE37" s="2263"/>
      <c r="AF37" s="2263"/>
      <c r="AG37" s="2263"/>
      <c r="AH37" s="2263"/>
      <c r="AI37" s="2263"/>
      <c r="AJ37" s="2263"/>
      <c r="AK37" s="2263"/>
      <c r="AL37" s="2263" t="s">
        <v>451</v>
      </c>
      <c r="AM37" s="2263"/>
      <c r="AN37" s="2263"/>
      <c r="AO37" s="2263"/>
      <c r="AP37" s="2263"/>
      <c r="AQ37" s="2263"/>
      <c r="AR37" s="2263"/>
      <c r="AS37" s="2282"/>
      <c r="BA37" s="1082">
        <v>14</v>
      </c>
    </row>
    <row r="38" spans="1:53" ht="1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t="s">
        <v>306</v>
      </c>
      <c r="AM38" s="2116"/>
      <c r="AN38" s="2116"/>
      <c r="AO38" s="2116"/>
      <c r="AP38" s="2116"/>
      <c r="AQ38" s="2116"/>
      <c r="AR38" s="2116"/>
      <c r="AS38" s="2280"/>
      <c r="AT38" s="2116"/>
      <c r="AU38" s="2116"/>
      <c r="BA38" s="1082"/>
    </row>
    <row r="39" spans="1:53" ht="14.65" customHeight="1">
      <c r="Q39" s="313"/>
      <c r="R39" s="313"/>
      <c r="S39" s="2264" t="s">
        <v>88</v>
      </c>
      <c r="T39" s="2212" t="s">
        <v>431</v>
      </c>
      <c r="U39" s="239"/>
      <c r="V39" s="2265" t="s">
        <v>432</v>
      </c>
      <c r="W39" s="2266"/>
      <c r="X39" s="2266"/>
      <c r="Y39" s="2266"/>
      <c r="Z39" s="2266"/>
      <c r="AA39" s="2266"/>
      <c r="AB39" s="2267"/>
      <c r="AC39" s="2268" t="s">
        <v>433</v>
      </c>
      <c r="AD39" s="2265" t="s">
        <v>432</v>
      </c>
      <c r="AE39" s="2266"/>
      <c r="AF39" s="2266"/>
      <c r="AG39" s="2266"/>
      <c r="AH39" s="2266"/>
      <c r="AI39" s="2266"/>
      <c r="AJ39" s="2267"/>
      <c r="AK39" s="2268" t="s">
        <v>434</v>
      </c>
      <c r="AL39" s="2265" t="s">
        <v>432</v>
      </c>
      <c r="AM39" s="2266"/>
      <c r="AN39" s="2266"/>
      <c r="AO39" s="2266"/>
      <c r="AP39" s="2266"/>
      <c r="AQ39" s="2266"/>
      <c r="AR39" s="2267"/>
      <c r="AS39" s="2283" t="s">
        <v>433</v>
      </c>
      <c r="AT39" s="2271" t="s">
        <v>435</v>
      </c>
      <c r="AU39" s="2116"/>
      <c r="BA39" s="1082">
        <v>14</v>
      </c>
    </row>
    <row r="40" spans="1:53" ht="35.65" customHeight="1">
      <c r="Q40" s="313"/>
      <c r="R40" s="313"/>
      <c r="S40" s="2264"/>
      <c r="T40" s="2212"/>
      <c r="U40" s="961"/>
      <c r="V40" s="2184" t="s">
        <v>436</v>
      </c>
      <c r="W40" s="2260" t="s">
        <v>437</v>
      </c>
      <c r="X40" s="2098" t="s">
        <v>438</v>
      </c>
      <c r="Y40" s="2097"/>
      <c r="Z40" s="2098" t="s">
        <v>452</v>
      </c>
      <c r="AA40" s="2103"/>
      <c r="AB40" s="2097"/>
      <c r="AC40" s="2269"/>
      <c r="AD40" s="2184" t="s">
        <v>436</v>
      </c>
      <c r="AE40" s="2260" t="s">
        <v>437</v>
      </c>
      <c r="AF40" s="2098" t="s">
        <v>438</v>
      </c>
      <c r="AG40" s="2097"/>
      <c r="AH40" s="2098" t="s">
        <v>439</v>
      </c>
      <c r="AI40" s="2103"/>
      <c r="AJ40" s="2097"/>
      <c r="AK40" s="2269"/>
      <c r="AL40" s="2184" t="s">
        <v>436</v>
      </c>
      <c r="AM40" s="2260" t="s">
        <v>437</v>
      </c>
      <c r="AN40" s="2098" t="s">
        <v>438</v>
      </c>
      <c r="AO40" s="2097"/>
      <c r="AP40" s="2098" t="s">
        <v>452</v>
      </c>
      <c r="AQ40" s="2103"/>
      <c r="AR40" s="2097"/>
      <c r="AS40" s="2284"/>
      <c r="AT40" s="2272"/>
      <c r="AU40" s="2116"/>
      <c r="BA40" s="1082">
        <v>34</v>
      </c>
    </row>
    <row r="41" spans="1:53"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421</v>
      </c>
      <c r="Q41" s="313"/>
      <c r="R41" s="313"/>
      <c r="S41" s="2264"/>
      <c r="T41" s="2212"/>
      <c r="U41" s="240"/>
      <c r="V41" s="2237"/>
      <c r="W41" s="2261"/>
      <c r="X41" s="1149" t="s">
        <v>447</v>
      </c>
      <c r="Y41" s="1149" t="s">
        <v>448</v>
      </c>
      <c r="Z41" s="1265" t="s">
        <v>449</v>
      </c>
      <c r="AA41" s="2217" t="s">
        <v>450</v>
      </c>
      <c r="AB41" s="2231"/>
      <c r="AC41" s="2270"/>
      <c r="AD41" s="2237"/>
      <c r="AE41" s="2261"/>
      <c r="AF41" s="1149" t="s">
        <v>447</v>
      </c>
      <c r="AG41" s="1149" t="s">
        <v>448</v>
      </c>
      <c r="AH41" s="1265" t="s">
        <v>449</v>
      </c>
      <c r="AI41" s="2217" t="s">
        <v>450</v>
      </c>
      <c r="AJ41" s="2231"/>
      <c r="AK41" s="2270"/>
      <c r="AL41" s="2237"/>
      <c r="AM41" s="2261"/>
      <c r="AN41" s="2014" t="s">
        <v>447</v>
      </c>
      <c r="AO41" s="2014" t="s">
        <v>448</v>
      </c>
      <c r="AP41" s="2014" t="s">
        <v>449</v>
      </c>
      <c r="AQ41" s="2217" t="s">
        <v>450</v>
      </c>
      <c r="AR41" s="2231"/>
      <c r="AS41" s="2285"/>
      <c r="AT41" s="2273"/>
      <c r="AU41" s="2116"/>
      <c r="BA41" s="1082">
        <v>34</v>
      </c>
    </row>
    <row r="42" spans="1:53"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62">
        <f ca="1">OFFSET(AA42,0,-1)+1</f>
        <v>4</v>
      </c>
      <c r="AB42" s="2262"/>
      <c r="AC42" s="1262">
        <f ca="1">OFFSET(AC42,0,-2)+1</f>
        <v>5</v>
      </c>
      <c r="AD42" s="1262">
        <f ca="1">OFFSET(AD42,0,-1)+1</f>
        <v>6</v>
      </c>
      <c r="AE42" s="1262"/>
      <c r="AF42" s="1262">
        <f ca="1">OFFSET(AF42,0,-1)+1</f>
        <v>1</v>
      </c>
      <c r="AG42" s="1262">
        <f ca="1">OFFSET(AG42,0,-1)+1</f>
        <v>2</v>
      </c>
      <c r="AH42" s="1262">
        <f ca="1">OFFSET(AH42,0,-1)+1</f>
        <v>3</v>
      </c>
      <c r="AI42" s="2262">
        <f ca="1">OFFSET(AI42,0,-1)+1</f>
        <v>4</v>
      </c>
      <c r="AJ42" s="2262"/>
      <c r="AK42" s="1262">
        <f ca="1">OFFSET(AK42,0,-2)+1</f>
        <v>5</v>
      </c>
      <c r="AL42" s="2006">
        <f ca="1">OFFSET(AL42,0,-1)+1</f>
        <v>6</v>
      </c>
      <c r="AM42" s="2006"/>
      <c r="AN42" s="2006">
        <f ca="1">OFFSET(AN42,0,-1)+1</f>
        <v>1</v>
      </c>
      <c r="AO42" s="2006">
        <f ca="1">OFFSET(AO42,0,-1)+1</f>
        <v>2</v>
      </c>
      <c r="AP42" s="2006">
        <f ca="1">OFFSET(AP42,0,-1)+1</f>
        <v>3</v>
      </c>
      <c r="AQ42" s="2262">
        <f ca="1">OFFSET(AQ42,0,-1)+1</f>
        <v>4</v>
      </c>
      <c r="AR42" s="2262"/>
      <c r="AS42" s="2056">
        <f ca="1">OFFSET(AS42,0,-2)+1</f>
        <v>5</v>
      </c>
      <c r="AT42" s="1172">
        <f ca="1">OFFSET(AT42,0,-1)</f>
        <v>5</v>
      </c>
      <c r="AU42" s="1262">
        <f ca="1">OFFSET(AU42,0,-1)+1</f>
        <v>6</v>
      </c>
      <c r="AV42" s="448"/>
      <c r="AW42" s="448"/>
      <c r="AX42" s="448"/>
      <c r="AY42" s="448"/>
      <c r="AZ42" s="448"/>
      <c r="BA42" s="433">
        <v>0</v>
      </c>
    </row>
    <row r="43" spans="1:53" ht="21.95" customHeight="1">
      <c r="A43" s="1290" t="s">
        <v>165</v>
      </c>
      <c r="B43" s="1290"/>
      <c r="C43" s="1290"/>
      <c r="D43" s="1290"/>
      <c r="E43" s="2251">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45"/>
      <c r="W43" s="2246"/>
      <c r="X43" s="2246"/>
      <c r="Y43" s="2246"/>
      <c r="Z43" s="2246"/>
      <c r="AA43" s="2246"/>
      <c r="AB43" s="2246"/>
      <c r="AC43" s="2247"/>
      <c r="AD43" s="2245" t="str">
        <f>INDEX(PT_DIFFERENTIATION_NTAR,MATCH(A43,PT_DIFFERENTIATION_NTAR_ID,0))</f>
        <v>Тариф на тепловую энергию (мощность) для потребителей на территории Засечного сельсовета Пензенского района Пензенской области</v>
      </c>
      <c r="AE43" s="2246"/>
      <c r="AF43" s="2246"/>
      <c r="AG43" s="2246"/>
      <c r="AH43" s="2246"/>
      <c r="AI43" s="2246"/>
      <c r="AJ43" s="2246"/>
      <c r="AK43" s="2246"/>
      <c r="AL43" s="2245"/>
      <c r="AM43" s="2246"/>
      <c r="AN43" s="2246"/>
      <c r="AO43" s="2246"/>
      <c r="AP43" s="2246"/>
      <c r="AQ43" s="2246"/>
      <c r="AR43" s="2246"/>
      <c r="AS43" s="2279"/>
      <c r="AT43" s="2247"/>
      <c r="AU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W43" s="437"/>
      <c r="AX43" s="437" t="str">
        <f t="shared" ref="AX43:AX57" si="1">IF(T43="","",T43)</f>
        <v>Наименование тарифа</v>
      </c>
      <c r="AY43" s="437"/>
      <c r="AZ43" s="437"/>
      <c r="BA43" s="1082">
        <v>21</v>
      </c>
    </row>
    <row r="44" spans="1:53" ht="21.95" customHeight="1">
      <c r="A44" s="1290" t="s">
        <v>165</v>
      </c>
      <c r="B44" s="1290" t="s">
        <v>166</v>
      </c>
      <c r="C44" s="1290"/>
      <c r="D44" s="1290"/>
      <c r="E44" s="2252"/>
      <c r="F44" s="2251">
        <v>1</v>
      </c>
      <c r="G44" s="1290"/>
      <c r="H44" s="1290"/>
      <c r="I44" s="1290"/>
      <c r="J44" s="1290"/>
      <c r="K44" s="1290"/>
      <c r="L44" s="1291"/>
      <c r="M44" s="1292"/>
      <c r="N44" s="1292"/>
      <c r="O44" s="1292"/>
      <c r="P44" s="1259"/>
      <c r="Q44" s="289"/>
      <c r="R44" s="290"/>
      <c r="S44" s="1263" t="str">
        <f>INDEX(PT_DIFFERENTIATION_NUM_TER,MATCH(B44,PT_DIFFERENTIATION_TER_ID,0))</f>
        <v>1.1</v>
      </c>
      <c r="T44" s="246" t="s">
        <v>403</v>
      </c>
      <c r="U44" s="238"/>
      <c r="V44" s="2245"/>
      <c r="W44" s="2246"/>
      <c r="X44" s="2246"/>
      <c r="Y44" s="2246"/>
      <c r="Z44" s="2246"/>
      <c r="AA44" s="2246"/>
      <c r="AB44" s="2246"/>
      <c r="AC44" s="2247"/>
      <c r="AD44" s="2245" t="str">
        <f>INDEX(PT_DIFFERENTIATION_TER,MATCH(B44,PT_DIFFERENTIATION_TER_ID,0))</f>
        <v>без дифференциации</v>
      </c>
      <c r="AE44" s="2246"/>
      <c r="AF44" s="2246"/>
      <c r="AG44" s="2246"/>
      <c r="AH44" s="2246"/>
      <c r="AI44" s="2246"/>
      <c r="AJ44" s="2246"/>
      <c r="AK44" s="2246"/>
      <c r="AL44" s="2245"/>
      <c r="AM44" s="2246"/>
      <c r="AN44" s="2246"/>
      <c r="AO44" s="2246"/>
      <c r="AP44" s="2246"/>
      <c r="AQ44" s="2246"/>
      <c r="AR44" s="2246"/>
      <c r="AS44" s="2279"/>
      <c r="AT44" s="2247"/>
      <c r="AU44" s="1185" t="s">
        <v>404</v>
      </c>
      <c r="AW44" s="437"/>
      <c r="AX44" s="437" t="str">
        <f t="shared" si="1"/>
        <v>Территория действия тарифа</v>
      </c>
      <c r="AY44" s="437"/>
      <c r="AZ44" s="437"/>
      <c r="BA44" s="1082">
        <v>21</v>
      </c>
    </row>
    <row r="45" spans="1:53" ht="24" customHeight="1">
      <c r="A45" s="1290" t="s">
        <v>165</v>
      </c>
      <c r="B45" s="1290" t="s">
        <v>166</v>
      </c>
      <c r="C45" s="1290" t="s">
        <v>167</v>
      </c>
      <c r="D45" s="1290"/>
      <c r="E45" s="2252"/>
      <c r="F45" s="2252"/>
      <c r="G45" s="2251">
        <v>1</v>
      </c>
      <c r="H45" s="1290"/>
      <c r="I45" s="1290"/>
      <c r="J45" s="1290"/>
      <c r="K45" s="1290"/>
      <c r="L45" s="1291"/>
      <c r="M45" s="1292"/>
      <c r="N45" s="1292"/>
      <c r="O45" s="1292"/>
      <c r="P45" s="291"/>
      <c r="Q45" s="289"/>
      <c r="R45" s="290"/>
      <c r="S45" s="1263" t="str">
        <f>INDEX(PT_DIFFERENTIATION_NUM_CS,MATCH(C45,PT_DIFFERENTIATION_CS_ID,0))</f>
        <v>1.1.1</v>
      </c>
      <c r="T45" s="247" t="s">
        <v>405</v>
      </c>
      <c r="U45" s="238"/>
      <c r="V45" s="2245"/>
      <c r="W45" s="2246"/>
      <c r="X45" s="2246"/>
      <c r="Y45" s="2246"/>
      <c r="Z45" s="2246"/>
      <c r="AA45" s="2246"/>
      <c r="AB45" s="2246"/>
      <c r="AC45" s="2247"/>
      <c r="AD45" s="2245" t="str">
        <f>INDEX(PT_DIFFERENTIATION_CS,MATCH(C45,PT_DIFFERENTIATION_CS_ID,0))</f>
        <v>без дифференциации</v>
      </c>
      <c r="AE45" s="2246"/>
      <c r="AF45" s="2246"/>
      <c r="AG45" s="2246"/>
      <c r="AH45" s="2246"/>
      <c r="AI45" s="2246"/>
      <c r="AJ45" s="2246"/>
      <c r="AK45" s="2246"/>
      <c r="AL45" s="2245"/>
      <c r="AM45" s="2246"/>
      <c r="AN45" s="2246"/>
      <c r="AO45" s="2246"/>
      <c r="AP45" s="2246"/>
      <c r="AQ45" s="2246"/>
      <c r="AR45" s="2246"/>
      <c r="AS45" s="2279"/>
      <c r="AT45" s="2247"/>
      <c r="AU45" s="1185" t="s">
        <v>406</v>
      </c>
      <c r="AW45" s="437"/>
      <c r="AX45" s="437" t="str">
        <f t="shared" si="1"/>
        <v xml:space="preserve">Наименование системы теплоснабжения </v>
      </c>
      <c r="AY45" s="437"/>
      <c r="AZ45" s="437"/>
      <c r="BA45" s="1082">
        <v>23</v>
      </c>
    </row>
    <row r="46" spans="1:53" ht="21.95" customHeight="1">
      <c r="A46" s="1290" t="s">
        <v>165</v>
      </c>
      <c r="B46" s="1290" t="s">
        <v>166</v>
      </c>
      <c r="C46" s="1290" t="s">
        <v>167</v>
      </c>
      <c r="D46" s="1290" t="s">
        <v>168</v>
      </c>
      <c r="E46" s="2252"/>
      <c r="F46" s="2252"/>
      <c r="G46" s="2252"/>
      <c r="H46" s="2251">
        <v>1</v>
      </c>
      <c r="I46" s="1290"/>
      <c r="J46" s="1290"/>
      <c r="K46" s="1290"/>
      <c r="L46" s="1291"/>
      <c r="M46" s="1292"/>
      <c r="N46" s="1292"/>
      <c r="O46" s="1292"/>
      <c r="P46" s="291"/>
      <c r="Q46" s="289"/>
      <c r="R46" s="290"/>
      <c r="S46" s="1263" t="str">
        <f>INDEX(PT_DIFFERENTIATION_NUM_IST_TE,MATCH(D46,PT_DIFFERENTIATION_IST_TE_ID,0))</f>
        <v>1.1.1.1</v>
      </c>
      <c r="T46" s="248" t="s">
        <v>407</v>
      </c>
      <c r="U46" s="238"/>
      <c r="V46" s="2245"/>
      <c r="W46" s="2246"/>
      <c r="X46" s="2246"/>
      <c r="Y46" s="2246"/>
      <c r="Z46" s="2246"/>
      <c r="AA46" s="2246"/>
      <c r="AB46" s="2246"/>
      <c r="AC46" s="2247"/>
      <c r="AD46" s="2245" t="str">
        <f>INDEX(PT_DIFFERENTIATION_IST_TE,MATCH(D46,PT_DIFFERENTIATION_IST_TE_ID,0))</f>
        <v>без дифференциации</v>
      </c>
      <c r="AE46" s="2246"/>
      <c r="AF46" s="2246"/>
      <c r="AG46" s="2246"/>
      <c r="AH46" s="2246"/>
      <c r="AI46" s="2246"/>
      <c r="AJ46" s="2246"/>
      <c r="AK46" s="2246"/>
      <c r="AL46" s="2245"/>
      <c r="AM46" s="2246"/>
      <c r="AN46" s="2246"/>
      <c r="AO46" s="2246"/>
      <c r="AP46" s="2246"/>
      <c r="AQ46" s="2246"/>
      <c r="AR46" s="2246"/>
      <c r="AS46" s="2279"/>
      <c r="AT46" s="2247"/>
      <c r="AU46" s="1185" t="s">
        <v>408</v>
      </c>
      <c r="AW46" s="437"/>
      <c r="AX46" s="437" t="str">
        <f t="shared" si="1"/>
        <v xml:space="preserve">Источник тепловой энергии  </v>
      </c>
      <c r="AY46" s="437"/>
      <c r="AZ46" s="437"/>
      <c r="BA46" s="1082">
        <v>21</v>
      </c>
    </row>
    <row r="47" spans="1:53" ht="49.5" customHeight="1">
      <c r="A47" s="1290" t="s">
        <v>165</v>
      </c>
      <c r="B47" s="1290" t="s">
        <v>166</v>
      </c>
      <c r="C47" s="1290" t="s">
        <v>167</v>
      </c>
      <c r="D47" s="1290" t="s">
        <v>168</v>
      </c>
      <c r="E47" s="2252"/>
      <c r="F47" s="2252"/>
      <c r="G47" s="2252"/>
      <c r="H47" s="2252"/>
      <c r="I47" s="2253" t="str">
        <f>S46&amp;".1"</f>
        <v>1.1.1.1.1</v>
      </c>
      <c r="J47" s="1290"/>
      <c r="K47" s="1290"/>
      <c r="L47" s="1291" t="s">
        <v>409</v>
      </c>
      <c r="P47" s="2255">
        <v>1</v>
      </c>
      <c r="Q47" s="1258"/>
      <c r="R47" s="293"/>
      <c r="S47" s="1263" t="str">
        <f>$I47</f>
        <v>1.1.1.1.1</v>
      </c>
      <c r="T47" s="223" t="s">
        <v>410</v>
      </c>
      <c r="U47" s="238"/>
      <c r="V47" s="2239"/>
      <c r="W47" s="2240"/>
      <c r="X47" s="2240"/>
      <c r="Y47" s="2240"/>
      <c r="Z47" s="2240"/>
      <c r="AA47" s="2240"/>
      <c r="AB47" s="2240"/>
      <c r="AC47" s="2241"/>
      <c r="AD47" s="2239" t="s">
        <v>453</v>
      </c>
      <c r="AE47" s="2240"/>
      <c r="AF47" s="2240"/>
      <c r="AG47" s="2240"/>
      <c r="AH47" s="2240"/>
      <c r="AI47" s="2240"/>
      <c r="AJ47" s="2240"/>
      <c r="AK47" s="2240"/>
      <c r="AL47" s="2239"/>
      <c r="AM47" s="2240"/>
      <c r="AN47" s="2240"/>
      <c r="AO47" s="2240"/>
      <c r="AP47" s="2240"/>
      <c r="AQ47" s="2240"/>
      <c r="AR47" s="2240"/>
      <c r="AS47" s="2278"/>
      <c r="AT47" s="2241"/>
      <c r="AU47" s="1185" t="s">
        <v>411</v>
      </c>
      <c r="AW47" s="437"/>
      <c r="AX47" s="437" t="str">
        <f t="shared" si="1"/>
        <v>Схема подключения теплопотребляющей установки к коллектору источника тепловой энергии</v>
      </c>
      <c r="AY47" s="437"/>
      <c r="AZ47" s="437"/>
      <c r="BA47" s="1082">
        <v>47</v>
      </c>
    </row>
    <row r="48" spans="1:53" ht="21.95" customHeight="1">
      <c r="A48" s="1290" t="s">
        <v>165</v>
      </c>
      <c r="B48" s="1290" t="s">
        <v>166</v>
      </c>
      <c r="C48" s="1290" t="s">
        <v>167</v>
      </c>
      <c r="D48" s="1290" t="s">
        <v>168</v>
      </c>
      <c r="E48" s="2252"/>
      <c r="F48" s="2252"/>
      <c r="G48" s="2252"/>
      <c r="H48" s="2252"/>
      <c r="I48" s="2254"/>
      <c r="J48" s="2253" t="str">
        <f>I47&amp;".1"</f>
        <v>1.1.1.1.1.1</v>
      </c>
      <c r="K48" s="1290"/>
      <c r="L48" s="1291" t="s">
        <v>412</v>
      </c>
      <c r="P48" s="2255"/>
      <c r="Q48" s="2255">
        <v>1</v>
      </c>
      <c r="R48" s="294"/>
      <c r="S48" s="1263" t="str">
        <f>$J48</f>
        <v>1.1.1.1.1.1</v>
      </c>
      <c r="T48" s="224" t="s">
        <v>413</v>
      </c>
      <c r="U48" s="238"/>
      <c r="V48" s="2239"/>
      <c r="W48" s="2240"/>
      <c r="X48" s="2240"/>
      <c r="Y48" s="2240"/>
      <c r="Z48" s="2240"/>
      <c r="AA48" s="2240"/>
      <c r="AB48" s="2240"/>
      <c r="AC48" s="2241"/>
      <c r="AD48" s="2239" t="s">
        <v>453</v>
      </c>
      <c r="AE48" s="2240"/>
      <c r="AF48" s="2240"/>
      <c r="AG48" s="2240"/>
      <c r="AH48" s="2240"/>
      <c r="AI48" s="2240"/>
      <c r="AJ48" s="2240"/>
      <c r="AK48" s="2240"/>
      <c r="AL48" s="2239"/>
      <c r="AM48" s="2240"/>
      <c r="AN48" s="2240"/>
      <c r="AO48" s="2240"/>
      <c r="AP48" s="2240"/>
      <c r="AQ48" s="2240"/>
      <c r="AR48" s="2240"/>
      <c r="AS48" s="2278"/>
      <c r="AT48" s="2241"/>
      <c r="AU48" s="1185" t="s">
        <v>414</v>
      </c>
      <c r="AW48" s="437"/>
      <c r="AX48" s="437" t="str">
        <f t="shared" si="1"/>
        <v>Группа потребителей</v>
      </c>
      <c r="AY48" s="437"/>
      <c r="AZ48" s="437"/>
      <c r="BA48" s="1082">
        <v>21</v>
      </c>
    </row>
    <row r="49" spans="1:53" ht="21.95" customHeight="1">
      <c r="A49" s="1290" t="s">
        <v>165</v>
      </c>
      <c r="B49" s="1290" t="s">
        <v>166</v>
      </c>
      <c r="C49" s="1290" t="s">
        <v>167</v>
      </c>
      <c r="D49" s="1290" t="s">
        <v>168</v>
      </c>
      <c r="E49" s="2252"/>
      <c r="F49" s="2252"/>
      <c r="G49" s="2252"/>
      <c r="H49" s="2252"/>
      <c r="I49" s="2254"/>
      <c r="J49" s="2254"/>
      <c r="K49" s="2253" t="str">
        <f>J48&amp;".1"</f>
        <v>1.1.1.1.1.1.1</v>
      </c>
      <c r="L49" s="1291" t="s">
        <v>415</v>
      </c>
      <c r="P49" s="2255"/>
      <c r="Q49" s="2255"/>
      <c r="R49" s="294">
        <v>1</v>
      </c>
      <c r="S49" s="1263" t="str">
        <f>$K49</f>
        <v>1.1.1.1.1.1.1</v>
      </c>
      <c r="T49" s="1274" t="s">
        <v>454</v>
      </c>
      <c r="U49" s="238"/>
      <c r="V49" s="688"/>
      <c r="W49" s="263"/>
      <c r="X49" s="688"/>
      <c r="Y49" s="1184"/>
      <c r="Z49" s="2256"/>
      <c r="AA49" s="2126" t="s">
        <v>66</v>
      </c>
      <c r="AB49" s="2256"/>
      <c r="AC49" s="2126" t="s">
        <v>66</v>
      </c>
      <c r="AD49" s="688">
        <v>1975.05</v>
      </c>
      <c r="AE49" s="263"/>
      <c r="AF49" s="688"/>
      <c r="AG49" s="1184"/>
      <c r="AH49" s="2256">
        <v>46023</v>
      </c>
      <c r="AI49" s="2126" t="s">
        <v>66</v>
      </c>
      <c r="AJ49" s="2258">
        <v>46203</v>
      </c>
      <c r="AK49" s="2126" t="s">
        <v>66</v>
      </c>
      <c r="AL49" s="688">
        <v>2182.58</v>
      </c>
      <c r="AM49" s="263"/>
      <c r="AN49" s="688"/>
      <c r="AO49" s="1184"/>
      <c r="AP49" s="2256">
        <v>46204</v>
      </c>
      <c r="AQ49" s="2126" t="s">
        <v>66</v>
      </c>
      <c r="AR49" s="2256">
        <v>46387</v>
      </c>
      <c r="AS49" s="2126" t="s">
        <v>66</v>
      </c>
      <c r="AT49" s="1275"/>
      <c r="AU49" s="2274" t="s">
        <v>416</v>
      </c>
      <c r="AV49" s="448" t="e">
        <f ca="1">STRCHECKDATE(V50:AT50)</f>
        <v>#NAME?</v>
      </c>
      <c r="AW49" s="437"/>
      <c r="AX49" s="437" t="str">
        <f t="shared" si="1"/>
        <v>вода</v>
      </c>
      <c r="AY49" s="437"/>
      <c r="AZ49" s="437"/>
      <c r="BA49" s="1082">
        <v>21</v>
      </c>
    </row>
    <row r="50" spans="1:53" ht="1.1499999999999999" customHeight="1">
      <c r="A50" s="1290" t="s">
        <v>165</v>
      </c>
      <c r="B50" s="1290" t="s">
        <v>166</v>
      </c>
      <c r="C50" s="1290" t="s">
        <v>167</v>
      </c>
      <c r="D50" s="1290" t="s">
        <v>168</v>
      </c>
      <c r="E50" s="2252"/>
      <c r="F50" s="2252"/>
      <c r="G50" s="2252"/>
      <c r="H50" s="2252"/>
      <c r="I50" s="2254"/>
      <c r="J50" s="2254"/>
      <c r="K50" s="2253"/>
      <c r="L50" s="1291"/>
      <c r="P50" s="2255"/>
      <c r="Q50" s="2255"/>
      <c r="R50" s="294"/>
      <c r="S50" s="1269"/>
      <c r="T50" s="238"/>
      <c r="U50" s="238"/>
      <c r="V50" s="263"/>
      <c r="W50" s="263"/>
      <c r="X50" s="263"/>
      <c r="Y50" s="266" t="str">
        <f>Z49&amp;"-"&amp;AB49</f>
        <v>-</v>
      </c>
      <c r="Z50" s="2257"/>
      <c r="AA50" s="2126"/>
      <c r="AB50" s="2257"/>
      <c r="AC50" s="2126"/>
      <c r="AD50" s="263"/>
      <c r="AE50" s="263"/>
      <c r="AF50" s="263"/>
      <c r="AG50" s="266" t="str">
        <f>AH49&amp;"-"&amp;AJ49</f>
        <v>46023-46203</v>
      </c>
      <c r="AH50" s="2257"/>
      <c r="AI50" s="2126"/>
      <c r="AJ50" s="2259"/>
      <c r="AK50" s="2126"/>
      <c r="AL50" s="263"/>
      <c r="AM50" s="263"/>
      <c r="AN50" s="263"/>
      <c r="AO50" s="266" t="str">
        <f>AP49&amp;"-"&amp;AR49</f>
        <v>46204-46387</v>
      </c>
      <c r="AP50" s="2257"/>
      <c r="AQ50" s="2126"/>
      <c r="AR50" s="2257"/>
      <c r="AS50" s="2126"/>
      <c r="AT50" s="1276"/>
      <c r="AU50" s="2275"/>
      <c r="AW50" s="437"/>
      <c r="AX50" s="437" t="str">
        <f t="shared" si="1"/>
        <v/>
      </c>
      <c r="AY50" s="437"/>
      <c r="AZ50" s="437"/>
      <c r="BA50" s="1082">
        <v>1</v>
      </c>
    </row>
    <row r="51" spans="1:53" ht="11.45" customHeight="1">
      <c r="A51" s="1290" t="s">
        <v>165</v>
      </c>
      <c r="B51" s="1290" t="s">
        <v>166</v>
      </c>
      <c r="C51" s="1290" t="s">
        <v>167</v>
      </c>
      <c r="D51" s="1290" t="s">
        <v>168</v>
      </c>
      <c r="E51" s="2252"/>
      <c r="F51" s="2252"/>
      <c r="G51" s="2252"/>
      <c r="H51" s="2252"/>
      <c r="I51" s="2254"/>
      <c r="J51" s="2253"/>
      <c r="K51" s="1290"/>
      <c r="L51" s="1291"/>
      <c r="P51" s="2255"/>
      <c r="Q51" s="2255"/>
      <c r="R51" s="293"/>
      <c r="S51" s="1205"/>
      <c r="T51" s="226" t="s">
        <v>417</v>
      </c>
      <c r="U51" s="304"/>
      <c r="V51" s="304"/>
      <c r="W51" s="304"/>
      <c r="X51" s="304"/>
      <c r="Y51" s="304"/>
      <c r="Z51" s="304"/>
      <c r="AA51" s="304"/>
      <c r="AB51" s="304"/>
      <c r="AC51" s="304"/>
      <c r="AD51" s="304"/>
      <c r="AE51" s="304"/>
      <c r="AF51" s="304"/>
      <c r="AG51" s="304"/>
      <c r="AH51" s="304"/>
      <c r="AI51" s="304"/>
      <c r="AJ51" s="304"/>
      <c r="AK51" s="304"/>
      <c r="AL51" s="2044"/>
      <c r="AM51" s="2044"/>
      <c r="AN51" s="2044"/>
      <c r="AO51" s="2044"/>
      <c r="AP51" s="2044"/>
      <c r="AQ51" s="2044"/>
      <c r="AR51" s="2044"/>
      <c r="AS51" s="2046"/>
      <c r="AT51" s="262"/>
      <c r="AU51" s="2276"/>
      <c r="AW51" s="437"/>
      <c r="AX51" s="437" t="str">
        <f t="shared" si="1"/>
        <v>Добавить вид теплоносителя (параметры теплоносителя)</v>
      </c>
      <c r="AY51" s="437"/>
      <c r="AZ51" s="437"/>
      <c r="BA51" s="1082">
        <v>11</v>
      </c>
    </row>
    <row r="52" spans="1:53" ht="11.45" customHeight="1">
      <c r="A52" s="1290" t="s">
        <v>165</v>
      </c>
      <c r="B52" s="1290" t="s">
        <v>166</v>
      </c>
      <c r="C52" s="1290" t="s">
        <v>167</v>
      </c>
      <c r="D52" s="1290" t="s">
        <v>168</v>
      </c>
      <c r="E52" s="2252"/>
      <c r="F52" s="2252"/>
      <c r="G52" s="2252"/>
      <c r="H52" s="2252"/>
      <c r="I52" s="2253"/>
      <c r="J52" s="1290"/>
      <c r="K52" s="1290"/>
      <c r="L52" s="1291"/>
      <c r="P52" s="2255"/>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2044"/>
      <c r="AM52" s="2044"/>
      <c r="AN52" s="2044"/>
      <c r="AO52" s="2044"/>
      <c r="AP52" s="2044"/>
      <c r="AQ52" s="2044"/>
      <c r="AR52" s="2044"/>
      <c r="AS52" s="2047"/>
      <c r="AT52" s="304"/>
      <c r="AU52" s="241"/>
      <c r="AW52" s="437"/>
      <c r="AX52" s="437" t="str">
        <f t="shared" si="1"/>
        <v>Добавить группу потребителей</v>
      </c>
      <c r="AY52" s="437"/>
      <c r="AZ52" s="437"/>
      <c r="BA52" s="1082">
        <v>11</v>
      </c>
    </row>
    <row r="53" spans="1:53" ht="14.65" customHeight="1">
      <c r="A53" s="1290" t="s">
        <v>165</v>
      </c>
      <c r="B53" s="1290" t="s">
        <v>166</v>
      </c>
      <c r="C53" s="1290" t="s">
        <v>167</v>
      </c>
      <c r="D53" s="1290" t="s">
        <v>168</v>
      </c>
      <c r="E53" s="2252"/>
      <c r="F53" s="2252"/>
      <c r="G53" s="2252"/>
      <c r="H53" s="225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2044"/>
      <c r="AM53" s="2044"/>
      <c r="AN53" s="2044"/>
      <c r="AO53" s="2044"/>
      <c r="AP53" s="2044"/>
      <c r="AQ53" s="2044"/>
      <c r="AR53" s="2044"/>
      <c r="AS53" s="2047"/>
      <c r="AT53" s="304"/>
      <c r="AU53" s="241"/>
      <c r="AW53" s="437"/>
      <c r="AX53" s="437" t="str">
        <f t="shared" si="1"/>
        <v>Добавить схему подключения</v>
      </c>
      <c r="AY53" s="437"/>
      <c r="AZ53" s="437"/>
      <c r="BA53" s="1082">
        <v>14</v>
      </c>
    </row>
    <row r="54" spans="1:53" s="1569" customFormat="1" ht="1.1499999999999999" customHeight="1">
      <c r="A54" s="1270" t="s">
        <v>165</v>
      </c>
      <c r="B54" s="1270" t="s">
        <v>166</v>
      </c>
      <c r="C54" s="1270" t="s">
        <v>167</v>
      </c>
      <c r="D54" s="1241"/>
      <c r="E54" s="2252"/>
      <c r="F54" s="2252"/>
      <c r="G54" s="2251"/>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2049"/>
      <c r="AT54" s="1251"/>
      <c r="AU54" s="1251"/>
      <c r="AW54" s="720"/>
      <c r="AX54" s="720" t="str">
        <f t="shared" si="1"/>
        <v>Добавить источник для дифференциации</v>
      </c>
      <c r="AY54" s="720"/>
      <c r="AZ54" s="720"/>
      <c r="BA54" s="455">
        <v>1</v>
      </c>
    </row>
    <row r="55" spans="1:53" s="1569" customFormat="1" ht="1.1499999999999999" customHeight="1">
      <c r="A55" s="1270" t="s">
        <v>165</v>
      </c>
      <c r="B55" s="1270" t="s">
        <v>166</v>
      </c>
      <c r="C55" s="1241"/>
      <c r="D55" s="1241"/>
      <c r="E55" s="2252"/>
      <c r="F55" s="2251"/>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2049"/>
      <c r="AT55" s="1251"/>
      <c r="AU55" s="1251"/>
      <c r="AW55" s="720"/>
      <c r="AX55" s="720" t="str">
        <f t="shared" si="1"/>
        <v>Добавить централизованную систему для дифференциации</v>
      </c>
      <c r="AY55" s="720"/>
      <c r="AZ55" s="720"/>
      <c r="BA55" s="455">
        <v>1</v>
      </c>
    </row>
    <row r="56" spans="1:53" s="1569" customFormat="1" ht="1.1499999999999999" customHeight="1">
      <c r="A56" s="1270" t="s">
        <v>165</v>
      </c>
      <c r="B56" s="1270"/>
      <c r="C56" s="1270"/>
      <c r="D56" s="1270"/>
      <c r="E56" s="2251"/>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2049"/>
      <c r="AT56" s="1251"/>
      <c r="AU56" s="1251"/>
      <c r="AW56" s="437"/>
      <c r="AX56" s="437" t="str">
        <f t="shared" si="1"/>
        <v>Добавить территорию для дифференциации</v>
      </c>
      <c r="AY56" s="437"/>
      <c r="AZ56" s="437"/>
      <c r="BA56" s="448">
        <v>1</v>
      </c>
    </row>
    <row r="57" spans="1:53"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2049"/>
      <c r="AT57" s="1251"/>
      <c r="AU57" s="1251"/>
      <c r="AW57" s="720"/>
      <c r="AX57" s="720" t="str">
        <f t="shared" si="1"/>
        <v>Добавить наименование тарифа</v>
      </c>
      <c r="AY57" s="720"/>
      <c r="AZ57" s="720"/>
      <c r="BA57" s="455">
        <v>1</v>
      </c>
    </row>
    <row r="58" spans="1:53" ht="11.45" customHeight="1">
      <c r="M58" s="1087"/>
      <c r="N58" s="1087"/>
      <c r="O58" s="474"/>
      <c r="P58" s="1082"/>
      <c r="Q58" s="1082"/>
      <c r="R58" s="1082"/>
      <c r="S58" s="1082"/>
      <c r="AL58" s="1562"/>
      <c r="AM58" s="1562"/>
      <c r="AN58" s="1562"/>
      <c r="AO58" s="1562"/>
      <c r="AP58" s="1562"/>
      <c r="AQ58" s="1562"/>
      <c r="AR58" s="1562"/>
      <c r="AS58" s="2045"/>
      <c r="AV58" s="1082"/>
      <c r="AW58" s="1082"/>
      <c r="AX58" s="1082"/>
      <c r="AY58" s="1082"/>
      <c r="AZ58" s="1082"/>
      <c r="BA58" s="1082">
        <v>11</v>
      </c>
    </row>
    <row r="59" spans="1:53" ht="28.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c r="AS59" s="2277"/>
      <c r="AT59" s="2250"/>
      <c r="AU59" s="2250"/>
      <c r="BA59" s="1082">
        <v>27</v>
      </c>
    </row>
    <row r="60" spans="1:53" ht="65.2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c r="AS60" s="2277"/>
      <c r="AT60" s="2250"/>
      <c r="AU60" s="2250"/>
      <c r="BA60" s="1082">
        <v>62</v>
      </c>
    </row>
    <row r="61" spans="1:53" ht="14.65" customHeight="1">
      <c r="O61" s="474"/>
      <c r="AL61" s="1562"/>
      <c r="AM61" s="1562"/>
      <c r="AN61" s="1562"/>
      <c r="AO61" s="1562"/>
      <c r="AP61" s="1562"/>
      <c r="AQ61" s="1562"/>
      <c r="AR61" s="1562"/>
      <c r="AS61" s="2045"/>
      <c r="BA61" s="1082">
        <v>14</v>
      </c>
    </row>
    <row r="62" spans="1:53" ht="18.75" customHeight="1">
      <c r="O62" s="474"/>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77"/>
      <c r="AT62" s="2250"/>
      <c r="AU62" s="2250"/>
      <c r="BA62" s="1082">
        <v>18</v>
      </c>
    </row>
    <row r="63" spans="1:53" ht="18.75" customHeight="1">
      <c r="O63" s="474"/>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c r="AS63" s="2277"/>
      <c r="AT63" s="2250"/>
      <c r="AU63" s="2250"/>
      <c r="BA63" s="1082">
        <v>18</v>
      </c>
    </row>
    <row r="64" spans="1:53" ht="29.25" customHeight="1">
      <c r="O64" s="474"/>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77"/>
      <c r="AT64" s="2250"/>
      <c r="AU64" s="2250"/>
      <c r="BA64" s="1082">
        <v>28</v>
      </c>
    </row>
    <row r="65" spans="1:53"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562">
        <v>0</v>
      </c>
      <c r="AM65" s="1562">
        <v>0</v>
      </c>
      <c r="AN65" s="1562">
        <v>0</v>
      </c>
      <c r="AO65" s="1562">
        <v>0</v>
      </c>
      <c r="AP65" s="1562">
        <v>0</v>
      </c>
      <c r="AQ65" s="1562">
        <v>0</v>
      </c>
      <c r="AR65" s="1562">
        <v>0</v>
      </c>
      <c r="AS65" s="2045">
        <v>0</v>
      </c>
      <c r="AT65" s="1082">
        <v>4</v>
      </c>
      <c r="AU65" s="1082">
        <v>115</v>
      </c>
      <c r="AV65" s="448">
        <v>10</v>
      </c>
      <c r="AW65" s="448">
        <v>10</v>
      </c>
      <c r="AX65" s="448">
        <v>10</v>
      </c>
      <c r="AY65" s="448">
        <v>10</v>
      </c>
      <c r="AZ65" s="448">
        <v>10</v>
      </c>
      <c r="BA65" s="1082">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09" hidden="1" customWidth="1"/>
    <col min="15" max="15" width="23.42578125" style="2009"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86">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1551"/>
      <c r="AP2" s="1551" t="str">
        <f t="shared" ref="AP2:AP15" si="0">IF(T2="","",T2)</f>
        <v>Наименование тарифа</v>
      </c>
      <c r="AQ2" s="1551"/>
      <c r="AR2" s="1551"/>
      <c r="AS2" s="1558">
        <v>0</v>
      </c>
    </row>
    <row r="3" spans="1:45" ht="21" hidden="1" customHeight="1">
      <c r="A3" s="1194"/>
      <c r="B3" s="1194"/>
      <c r="C3" s="1194"/>
      <c r="D3" s="1194"/>
      <c r="E3" s="2287"/>
      <c r="F3" s="2286">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1551"/>
      <c r="AP3" s="1551" t="str">
        <f t="shared" si="0"/>
        <v>Территория действия тарифа</v>
      </c>
      <c r="AQ3" s="1551"/>
      <c r="AR3" s="1551"/>
      <c r="AS3" s="1558">
        <v>0</v>
      </c>
    </row>
    <row r="4" spans="1:45" ht="23.25" hidden="1" customHeight="1">
      <c r="A4" s="1194"/>
      <c r="B4" s="1194"/>
      <c r="C4" s="1194"/>
      <c r="D4" s="1194"/>
      <c r="E4" s="2287"/>
      <c r="F4" s="2287"/>
      <c r="G4" s="2286">
        <v>1</v>
      </c>
      <c r="H4" s="1194"/>
      <c r="I4" s="1194"/>
      <c r="J4" s="1194"/>
      <c r="K4" s="1194"/>
      <c r="L4" s="1237"/>
      <c r="M4" s="1537"/>
      <c r="N4" s="1537"/>
      <c r="O4" s="1537"/>
      <c r="P4" s="291"/>
      <c r="Q4" s="289"/>
      <c r="R4" s="290"/>
      <c r="S4" s="1880"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87"/>
      <c r="F5" s="2287"/>
      <c r="G5" s="2287"/>
      <c r="H5" s="2286">
        <v>1</v>
      </c>
      <c r="I5" s="1194"/>
      <c r="J5" s="1194"/>
      <c r="K5" s="1194"/>
      <c r="L5" s="1237"/>
      <c r="M5" s="1537"/>
      <c r="N5" s="1537"/>
      <c r="O5" s="1537"/>
      <c r="P5" s="291"/>
      <c r="Q5" s="289"/>
      <c r="R5" s="290"/>
      <c r="S5" s="1880"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87"/>
      <c r="F6" s="2287"/>
      <c r="G6" s="2287"/>
      <c r="H6" s="2287"/>
      <c r="I6" s="2116" t="e">
        <f>S5&amp;".1"</f>
        <v>#N/A</v>
      </c>
      <c r="J6" s="1194"/>
      <c r="K6" s="1194"/>
      <c r="L6" s="1237" t="s">
        <v>409</v>
      </c>
      <c r="M6" s="1562"/>
      <c r="P6" s="2255">
        <v>1</v>
      </c>
      <c r="Q6" s="1876"/>
      <c r="R6" s="293"/>
      <c r="S6" s="1880" t="e">
        <f>$I6</f>
        <v>#N/A</v>
      </c>
      <c r="T6" s="223" t="s">
        <v>410</v>
      </c>
      <c r="U6" s="238"/>
      <c r="V6" s="2239"/>
      <c r="W6" s="2240"/>
      <c r="X6" s="2240"/>
      <c r="Y6" s="2240"/>
      <c r="Z6" s="2240"/>
      <c r="AA6" s="2240"/>
      <c r="AB6" s="2240"/>
      <c r="AC6" s="2241"/>
      <c r="AD6" s="2239"/>
      <c r="AE6" s="2240"/>
      <c r="AF6" s="2240"/>
      <c r="AG6" s="2240"/>
      <c r="AH6" s="2240"/>
      <c r="AI6" s="2240"/>
      <c r="AJ6" s="2240"/>
      <c r="AK6" s="2240"/>
      <c r="AL6" s="2241"/>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87"/>
      <c r="F7" s="2287"/>
      <c r="G7" s="2287"/>
      <c r="H7" s="2287"/>
      <c r="I7" s="2098"/>
      <c r="J7" s="2116" t="e">
        <f>I6&amp;".1"</f>
        <v>#N/A</v>
      </c>
      <c r="K7" s="1194"/>
      <c r="L7" s="1237" t="s">
        <v>412</v>
      </c>
      <c r="M7" s="1562"/>
      <c r="N7" s="1558"/>
      <c r="P7" s="2255"/>
      <c r="Q7" s="2255">
        <v>1</v>
      </c>
      <c r="R7" s="294"/>
      <c r="S7" s="1880" t="e">
        <f>$J7</f>
        <v>#N/A</v>
      </c>
      <c r="T7" s="224" t="s">
        <v>413</v>
      </c>
      <c r="U7" s="238"/>
      <c r="V7" s="2239"/>
      <c r="W7" s="2240"/>
      <c r="X7" s="2240"/>
      <c r="Y7" s="2240"/>
      <c r="Z7" s="2240"/>
      <c r="AA7" s="2240"/>
      <c r="AB7" s="2240"/>
      <c r="AC7" s="2241"/>
      <c r="AD7" s="2239"/>
      <c r="AE7" s="2240"/>
      <c r="AF7" s="2240"/>
      <c r="AG7" s="2240"/>
      <c r="AH7" s="2240"/>
      <c r="AI7" s="2240"/>
      <c r="AJ7" s="2240"/>
      <c r="AK7" s="2240"/>
      <c r="AL7" s="2241"/>
      <c r="AM7" s="1185" t="s">
        <v>414</v>
      </c>
      <c r="AO7" s="1551"/>
      <c r="AP7" s="1551" t="str">
        <f t="shared" si="0"/>
        <v>Группа потребителей</v>
      </c>
      <c r="AQ7" s="1551"/>
      <c r="AR7" s="1551"/>
      <c r="AS7" s="1558">
        <v>0</v>
      </c>
    </row>
    <row r="8" spans="1:45" ht="21" hidden="1" customHeight="1">
      <c r="A8" s="1194"/>
      <c r="B8" s="1194"/>
      <c r="C8" s="1194"/>
      <c r="D8" s="1194"/>
      <c r="E8" s="2287"/>
      <c r="F8" s="2287"/>
      <c r="G8" s="2287"/>
      <c r="H8" s="2287"/>
      <c r="I8" s="2098"/>
      <c r="J8" s="2098"/>
      <c r="K8" s="2116" t="e">
        <f>J7&amp;".1"</f>
        <v>#N/A</v>
      </c>
      <c r="L8" s="1237" t="s">
        <v>415</v>
      </c>
      <c r="M8" s="1562"/>
      <c r="N8" s="1558"/>
      <c r="O8" s="1558"/>
      <c r="P8" s="2255"/>
      <c r="Q8" s="2255"/>
      <c r="R8" s="294">
        <v>1</v>
      </c>
      <c r="S8" s="1880" t="e">
        <f>$K8</f>
        <v>#N/A</v>
      </c>
      <c r="T8" s="1274"/>
      <c r="U8" s="238"/>
      <c r="V8" s="688"/>
      <c r="W8" s="263"/>
      <c r="X8" s="688"/>
      <c r="Y8" s="1184"/>
      <c r="Z8" s="2256"/>
      <c r="AA8" s="2126" t="s">
        <v>66</v>
      </c>
      <c r="AB8" s="2256"/>
      <c r="AC8" s="2126" t="s">
        <v>66</v>
      </c>
      <c r="AD8" s="688"/>
      <c r="AE8" s="263"/>
      <c r="AF8" s="688"/>
      <c r="AG8" s="1184"/>
      <c r="AH8" s="2256"/>
      <c r="AI8" s="2126" t="s">
        <v>66</v>
      </c>
      <c r="AJ8" s="2256"/>
      <c r="AK8" s="2126" t="s">
        <v>66</v>
      </c>
      <c r="AL8" s="263"/>
      <c r="AM8" s="2274" t="s">
        <v>416</v>
      </c>
      <c r="AN8" s="1563" t="e">
        <f ca="1">STRCHECKDATE(V9:AL9)</f>
        <v>#NAME?</v>
      </c>
      <c r="AO8" s="1551"/>
      <c r="AP8" s="1551" t="str">
        <f t="shared" si="0"/>
        <v/>
      </c>
      <c r="AQ8" s="1551"/>
      <c r="AR8" s="1551"/>
      <c r="AS8" s="1558">
        <v>0</v>
      </c>
    </row>
    <row r="9" spans="1:45" ht="0.75" hidden="1" customHeight="1">
      <c r="A9" s="1194"/>
      <c r="B9" s="1194"/>
      <c r="C9" s="1194"/>
      <c r="D9" s="1194"/>
      <c r="E9" s="2287"/>
      <c r="F9" s="2287"/>
      <c r="G9" s="2287"/>
      <c r="H9" s="2287"/>
      <c r="I9" s="2098"/>
      <c r="J9" s="2098"/>
      <c r="K9" s="2116"/>
      <c r="L9" s="1237"/>
      <c r="M9" s="1562"/>
      <c r="N9" s="1558"/>
      <c r="O9" s="1558"/>
      <c r="P9" s="2255"/>
      <c r="Q9" s="2255"/>
      <c r="R9" s="294"/>
      <c r="S9" s="188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1551"/>
      <c r="AP9" s="1551" t="str">
        <f t="shared" si="0"/>
        <v/>
      </c>
      <c r="AQ9" s="1551"/>
      <c r="AR9" s="1551"/>
      <c r="AS9" s="1558">
        <v>0</v>
      </c>
    </row>
    <row r="10" spans="1:45" ht="15" hidden="1" customHeight="1">
      <c r="A10" s="1194"/>
      <c r="B10" s="1194"/>
      <c r="C10" s="1194"/>
      <c r="D10" s="1194"/>
      <c r="E10" s="2287"/>
      <c r="F10" s="2287"/>
      <c r="G10" s="2287"/>
      <c r="H10" s="2287"/>
      <c r="I10" s="2098"/>
      <c r="J10" s="2116"/>
      <c r="K10" s="1194"/>
      <c r="L10" s="1237"/>
      <c r="M10" s="1562"/>
      <c r="N10" s="1558"/>
      <c r="P10" s="2255"/>
      <c r="Q10" s="2255"/>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7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87"/>
      <c r="F11" s="2287"/>
      <c r="G11" s="2287"/>
      <c r="H11" s="2287"/>
      <c r="I11" s="2116"/>
      <c r="J11" s="1194"/>
      <c r="K11" s="1194"/>
      <c r="L11" s="1237"/>
      <c r="M11" s="1562"/>
      <c r="P11" s="2255"/>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87"/>
      <c r="F12" s="2287"/>
      <c r="G12" s="2287"/>
      <c r="H12" s="2286"/>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87"/>
      <c r="F13" s="2287"/>
      <c r="G13" s="2286"/>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87"/>
      <c r="F14" s="2286"/>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86"/>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49"/>
      <c r="AI17" s="2248" t="s">
        <v>66</v>
      </c>
      <c r="AJ17" s="2249"/>
      <c r="AK17" s="2248" t="s">
        <v>66</v>
      </c>
      <c r="AS17" s="1558">
        <v>0</v>
      </c>
    </row>
    <row r="18" spans="1:45" ht="14.25" hidden="1" customHeight="1">
      <c r="AD18" s="1287"/>
      <c r="AE18" s="1287"/>
      <c r="AF18" s="1287"/>
      <c r="AG18" s="266" t="str">
        <f>AH17&amp;"-"&amp;AJ17</f>
        <v>-</v>
      </c>
      <c r="AH18" s="2248"/>
      <c r="AI18" s="2248"/>
      <c r="AJ18" s="2248"/>
      <c r="AK18" s="224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70"/>
      <c r="AS26" s="1558">
        <v>14</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42" t="s">
        <v>42</v>
      </c>
      <c r="T29" s="2242"/>
      <c r="U29" s="1299"/>
      <c r="V29" s="2244" t="str">
        <f>IF(TITLE_NAME_OR_PR_CHANGE="",IF(TITLE_NAME_OR_PR="","",TITLE_NAME_OR_PR),TITLE_NAME_OR_PR_CHANGE)</f>
        <v/>
      </c>
      <c r="W29" s="2244"/>
      <c r="X29" s="2244"/>
      <c r="Y29" s="2244"/>
      <c r="Z29" s="2244"/>
      <c r="AA29" s="2244"/>
      <c r="AB29" s="2244"/>
      <c r="AC29" s="1562"/>
      <c r="AD29" s="2244" t="str">
        <f>IF(TITLE_NAME_OR_PR_CHANGE="",IF(TITLE_NAME_OR_PR="","",TITLE_NAME_OR_PR),TITLE_NAME_OR_PR_CHANGE)</f>
        <v/>
      </c>
      <c r="AE29" s="2244"/>
      <c r="AF29" s="2244"/>
      <c r="AG29" s="2244"/>
      <c r="AH29" s="2244"/>
      <c r="AI29" s="2244"/>
      <c r="AJ29" s="2244"/>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42" t="s">
        <v>426</v>
      </c>
      <c r="T30" s="2242"/>
      <c r="U30" s="1299"/>
      <c r="V30" s="2243">
        <f>IF(TITLE_DATE_PR_CHANGE="",IF(TITLE_DATE_PR="","",TITLE_DATE_PR),TITLE_DATE_PR_CHANGE)</f>
        <v>45777</v>
      </c>
      <c r="W30" s="2243"/>
      <c r="X30" s="2243"/>
      <c r="Y30" s="2243"/>
      <c r="Z30" s="2243"/>
      <c r="AA30" s="2243"/>
      <c r="AB30" s="2243"/>
      <c r="AC30" s="1562"/>
      <c r="AD30" s="2243">
        <f>IF(TITLE_DATE_PR_CHANGE="",IF(TITLE_DATE_PR="","",TITLE_DATE_PR),TITLE_DATE_PR_CHANGE)</f>
        <v>45777</v>
      </c>
      <c r="AE30" s="2243"/>
      <c r="AF30" s="2243"/>
      <c r="AG30" s="2243"/>
      <c r="AH30" s="2243"/>
      <c r="AI30" s="2243"/>
      <c r="AJ30" s="2243"/>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42" t="s">
        <v>427</v>
      </c>
      <c r="T31" s="2242"/>
      <c r="U31" s="1299"/>
      <c r="V31" s="2244" t="str">
        <f>IF(TITLE_NUMBER_PR_CHANGE="",IF(TITLE_NUMBER_PR="","",TITLE_NUMBER_PR),TITLE_NUMBER_PR_CHANGE)</f>
        <v>466</v>
      </c>
      <c r="W31" s="2244"/>
      <c r="X31" s="2244"/>
      <c r="Y31" s="2244"/>
      <c r="Z31" s="2244"/>
      <c r="AA31" s="2244"/>
      <c r="AB31" s="2244"/>
      <c r="AC31" s="1562"/>
      <c r="AD31" s="2244" t="str">
        <f>IF(TITLE_NUMBER_PR_CHANGE="",IF(TITLE_NUMBER_PR="","",TITLE_NUMBER_PR),TITLE_NUMBER_PR_CHANGE)</f>
        <v>466</v>
      </c>
      <c r="AE31" s="2244"/>
      <c r="AF31" s="2244"/>
      <c r="AG31" s="2244"/>
      <c r="AH31" s="2244"/>
      <c r="AI31" s="2244"/>
      <c r="AJ31" s="2244"/>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42" t="s">
        <v>43</v>
      </c>
      <c r="T32" s="2242"/>
      <c r="U32" s="1299"/>
      <c r="V32" s="2244" t="str">
        <f>IF(TITLE_IST_PUB_CHANGE="",IF(TITLE_IST_PUB="","",TITLE_IST_PUB),TITLE_IST_PUB_CHANGE)</f>
        <v/>
      </c>
      <c r="W32" s="2244"/>
      <c r="X32" s="2244"/>
      <c r="Y32" s="2244"/>
      <c r="Z32" s="2244"/>
      <c r="AA32" s="2244"/>
      <c r="AB32" s="2244"/>
      <c r="AC32" s="1562"/>
      <c r="AD32" s="2244" t="str">
        <f>IF(TITLE_IST_PUB_CHANGE="",IF(TITLE_IST_PUB="","",TITLE_IST_PUB),TITLE_IST_PUB_CHANGE)</f>
        <v/>
      </c>
      <c r="AE32" s="2244"/>
      <c r="AF32" s="2244"/>
      <c r="AG32" s="2244"/>
      <c r="AH32" s="2244"/>
      <c r="AI32" s="2244"/>
      <c r="AJ32" s="2244"/>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42" t="s">
        <v>428</v>
      </c>
      <c r="T34" s="2242"/>
      <c r="U34" s="1299"/>
      <c r="V34" s="2243">
        <f>IF(TITLE_DATE_PR_CHANGE="",IF(TITLE_DATE_PR="","",TITLE_DATE_PR),TITLE_DATE_PR_CHANGE)</f>
        <v>45777</v>
      </c>
      <c r="W34" s="2243"/>
      <c r="X34" s="2243"/>
      <c r="Y34" s="2243"/>
      <c r="Z34" s="2243"/>
      <c r="AA34" s="2243"/>
      <c r="AB34" s="2243"/>
      <c r="AC34" s="1562"/>
      <c r="AD34" s="2243">
        <f>IF(TITLE_DATE_PR_CHANGE="",IF(TITLE_DATE_PR="","",TITLE_DATE_PR),TITLE_DATE_PR_CHANGE)</f>
        <v>45777</v>
      </c>
      <c r="AE34" s="2243"/>
      <c r="AF34" s="2243"/>
      <c r="AG34" s="2243"/>
      <c r="AH34" s="2243"/>
      <c r="AI34" s="2243"/>
      <c r="AJ34" s="2243"/>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42" t="s">
        <v>429</v>
      </c>
      <c r="T35" s="2242"/>
      <c r="U35" s="1299"/>
      <c r="V35" s="2244" t="str">
        <f>IF(TITLE_NUMBER_PR_CHANGE="",IF(TITLE_NUMBER_PR="","",TITLE_NUMBER_PR),TITLE_NUMBER_PR_CHANGE)</f>
        <v>466</v>
      </c>
      <c r="W35" s="2244"/>
      <c r="X35" s="2244"/>
      <c r="Y35" s="2244"/>
      <c r="Z35" s="2244"/>
      <c r="AA35" s="2244"/>
      <c r="AB35" s="2244"/>
      <c r="AC35" s="1562"/>
      <c r="AD35" s="2244" t="str">
        <f>IF(TITLE_NUMBER_PR_CHANGE="",IF(TITLE_NUMBER_PR="","",TITLE_NUMBER_PR),TITLE_NUMBER_PR_CHANGE)</f>
        <v>466</v>
      </c>
      <c r="AE35" s="2244"/>
      <c r="AF35" s="2244"/>
      <c r="AG35" s="2244"/>
      <c r="AH35" s="2244"/>
      <c r="AI35" s="2244"/>
      <c r="AJ35" s="2244"/>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63"/>
      <c r="W37" s="2263"/>
      <c r="X37" s="2263"/>
      <c r="Y37" s="2263"/>
      <c r="Z37" s="2263"/>
      <c r="AA37" s="2263"/>
      <c r="AB37" s="2263"/>
      <c r="AC37" s="2263"/>
      <c r="AD37" s="2263"/>
      <c r="AE37" s="2263"/>
      <c r="AF37" s="2263"/>
      <c r="AG37" s="2263"/>
      <c r="AH37" s="2263"/>
      <c r="AI37" s="2263"/>
      <c r="AJ37" s="2263"/>
      <c r="AK37" s="2263"/>
      <c r="AS37" s="1558">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558">
        <v>14</v>
      </c>
    </row>
    <row r="39" spans="1:45" ht="14.65" customHeight="1">
      <c r="Q39" s="313"/>
      <c r="R39" s="313"/>
      <c r="S39" s="2264" t="s">
        <v>88</v>
      </c>
      <c r="T39" s="2212" t="s">
        <v>431</v>
      </c>
      <c r="U39" s="275"/>
      <c r="V39" s="2265" t="s">
        <v>432</v>
      </c>
      <c r="W39" s="2266"/>
      <c r="X39" s="2266"/>
      <c r="Y39" s="2266"/>
      <c r="Z39" s="2266"/>
      <c r="AA39" s="2266"/>
      <c r="AB39" s="2267"/>
      <c r="AC39" s="2268" t="s">
        <v>433</v>
      </c>
      <c r="AD39" s="2265" t="s">
        <v>432</v>
      </c>
      <c r="AE39" s="2266"/>
      <c r="AF39" s="2266"/>
      <c r="AG39" s="2266"/>
      <c r="AH39" s="2266"/>
      <c r="AI39" s="2266"/>
      <c r="AJ39" s="2267"/>
      <c r="AK39" s="2268" t="s">
        <v>434</v>
      </c>
      <c r="AL39" s="2271" t="s">
        <v>435</v>
      </c>
      <c r="AM39" s="2116"/>
      <c r="AS39" s="1558">
        <v>14</v>
      </c>
    </row>
    <row r="40" spans="1:45" ht="35.65" customHeight="1">
      <c r="Q40" s="313"/>
      <c r="R40" s="313"/>
      <c r="S40" s="2264"/>
      <c r="T40" s="2212"/>
      <c r="U40" s="961"/>
      <c r="V40" s="2184" t="s">
        <v>436</v>
      </c>
      <c r="W40" s="2260" t="s">
        <v>437</v>
      </c>
      <c r="X40" s="2098" t="s">
        <v>438</v>
      </c>
      <c r="Y40" s="2097"/>
      <c r="Z40" s="2098" t="s">
        <v>452</v>
      </c>
      <c r="AA40" s="2103"/>
      <c r="AB40" s="2097"/>
      <c r="AC40" s="2269"/>
      <c r="AD40" s="2184" t="s">
        <v>436</v>
      </c>
      <c r="AE40" s="2260" t="s">
        <v>437</v>
      </c>
      <c r="AF40" s="2098" t="s">
        <v>438</v>
      </c>
      <c r="AG40" s="2097"/>
      <c r="AH40" s="2098" t="s">
        <v>439</v>
      </c>
      <c r="AI40" s="2103"/>
      <c r="AJ40" s="2097"/>
      <c r="AK40" s="2269"/>
      <c r="AL40" s="2272"/>
      <c r="AM40" s="2116"/>
      <c r="AS40" s="1558">
        <v>34</v>
      </c>
    </row>
    <row r="41" spans="1:45" ht="35.65" customHeight="1">
      <c r="A41" s="1193"/>
      <c r="B41" s="1193" t="s">
        <v>136</v>
      </c>
      <c r="C41" s="1193" t="s">
        <v>137</v>
      </c>
      <c r="D41" s="1193" t="s">
        <v>138</v>
      </c>
      <c r="E41" s="1237" t="s">
        <v>440</v>
      </c>
      <c r="F41" s="1237" t="s">
        <v>441</v>
      </c>
      <c r="G41" s="1237" t="s">
        <v>442</v>
      </c>
      <c r="H41" s="1237" t="s">
        <v>443</v>
      </c>
      <c r="I41" s="1237" t="s">
        <v>444</v>
      </c>
      <c r="J41" s="1237" t="s">
        <v>445</v>
      </c>
      <c r="K41" s="1237" t="s">
        <v>446</v>
      </c>
      <c r="L41" s="1237" t="s">
        <v>421</v>
      </c>
      <c r="Q41" s="313"/>
      <c r="R41" s="313"/>
      <c r="S41" s="2264"/>
      <c r="T41" s="2212"/>
      <c r="U41" s="240"/>
      <c r="V41" s="2237"/>
      <c r="W41" s="2261"/>
      <c r="X41" s="1860" t="s">
        <v>447</v>
      </c>
      <c r="Y41" s="1860" t="s">
        <v>448</v>
      </c>
      <c r="Z41" s="1860" t="s">
        <v>449</v>
      </c>
      <c r="AA41" s="2217" t="s">
        <v>450</v>
      </c>
      <c r="AB41" s="2231"/>
      <c r="AC41" s="2270"/>
      <c r="AD41" s="2237"/>
      <c r="AE41" s="2261"/>
      <c r="AF41" s="1860" t="s">
        <v>447</v>
      </c>
      <c r="AG41" s="1860" t="s">
        <v>448</v>
      </c>
      <c r="AH41" s="1860" t="s">
        <v>449</v>
      </c>
      <c r="AI41" s="2217" t="s">
        <v>450</v>
      </c>
      <c r="AJ41" s="2231"/>
      <c r="AK41" s="2270"/>
      <c r="AL41" s="2273"/>
      <c r="AM41" s="211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62">
        <f ca="1">OFFSET(AA42,0,-1)+1</f>
        <v>4</v>
      </c>
      <c r="AB42" s="2262"/>
      <c r="AC42" s="1878">
        <f ca="1">OFFSET(AC42,0,-2)+1</f>
        <v>5</v>
      </c>
      <c r="AD42" s="1878">
        <f ca="1">OFFSET(AD42,0,-1)+1</f>
        <v>6</v>
      </c>
      <c r="AE42" s="1878"/>
      <c r="AF42" s="1878">
        <f ca="1">OFFSET(AF42,0,-1)+1</f>
        <v>1</v>
      </c>
      <c r="AG42" s="1878">
        <f ca="1">OFFSET(AG42,0,-1)+1</f>
        <v>2</v>
      </c>
      <c r="AH42" s="1878">
        <f ca="1">OFFSET(AH42,0,-1)+1</f>
        <v>3</v>
      </c>
      <c r="AI42" s="2262">
        <f ca="1">OFFSET(AI42,0,-1)+1</f>
        <v>4</v>
      </c>
      <c r="AJ42" s="2262"/>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8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87"/>
      <c r="F44" s="2286">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87"/>
      <c r="F45" s="2287"/>
      <c r="G45" s="2286">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87"/>
      <c r="F46" s="2287"/>
      <c r="G46" s="2287"/>
      <c r="H46" s="2286">
        <v>1</v>
      </c>
      <c r="I46" s="1194"/>
      <c r="J46" s="1194"/>
      <c r="K46" s="1194"/>
      <c r="L46" s="1237"/>
      <c r="M46" s="1537"/>
      <c r="N46" s="1537"/>
      <c r="O46" s="1537"/>
      <c r="P46" s="291"/>
      <c r="Q46" s="289"/>
      <c r="R46" s="290"/>
      <c r="S46" s="1880"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87"/>
      <c r="F47" s="2287"/>
      <c r="G47" s="2287"/>
      <c r="H47" s="2287"/>
      <c r="I47" s="2116" t="str">
        <f>S46&amp;".1"</f>
        <v>....1</v>
      </c>
      <c r="J47" s="1194"/>
      <c r="K47" s="1194"/>
      <c r="L47" s="1237" t="s">
        <v>409</v>
      </c>
      <c r="P47" s="2255">
        <v>1</v>
      </c>
      <c r="Q47" s="1876"/>
      <c r="R47" s="293"/>
      <c r="S47" s="1880" t="str">
        <f>$I47</f>
        <v>....1</v>
      </c>
      <c r="T47" s="223" t="s">
        <v>410</v>
      </c>
      <c r="U47" s="238"/>
      <c r="V47" s="2239"/>
      <c r="W47" s="2240"/>
      <c r="X47" s="2240"/>
      <c r="Y47" s="2240"/>
      <c r="Z47" s="2240"/>
      <c r="AA47" s="2240"/>
      <c r="AB47" s="2240"/>
      <c r="AC47" s="2241"/>
      <c r="AD47" s="2239"/>
      <c r="AE47" s="2240"/>
      <c r="AF47" s="2240"/>
      <c r="AG47" s="2240"/>
      <c r="AH47" s="2240"/>
      <c r="AI47" s="2240"/>
      <c r="AJ47" s="2240"/>
      <c r="AK47" s="2240"/>
      <c r="AL47" s="2241"/>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87"/>
      <c r="F48" s="2287"/>
      <c r="G48" s="2287"/>
      <c r="H48" s="2287"/>
      <c r="I48" s="2098"/>
      <c r="J48" s="2116" t="str">
        <f>I47&amp;".1"</f>
        <v>....1.1</v>
      </c>
      <c r="K48" s="1194"/>
      <c r="L48" s="1237" t="s">
        <v>412</v>
      </c>
      <c r="P48" s="2255"/>
      <c r="Q48" s="2255">
        <v>1</v>
      </c>
      <c r="R48" s="294"/>
      <c r="S48" s="1880" t="str">
        <f>$J48</f>
        <v>....1.1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87"/>
      <c r="F49" s="2287"/>
      <c r="G49" s="2287"/>
      <c r="H49" s="2287"/>
      <c r="I49" s="2098"/>
      <c r="J49" s="2098"/>
      <c r="K49" s="2116" t="str">
        <f>J48&amp;".1"</f>
        <v>....1.1.1</v>
      </c>
      <c r="L49" s="1237" t="s">
        <v>415</v>
      </c>
      <c r="P49" s="2255"/>
      <c r="Q49" s="2255"/>
      <c r="R49" s="294">
        <v>1</v>
      </c>
      <c r="S49" s="1880" t="str">
        <f>$K49</f>
        <v>....1.1.1</v>
      </c>
      <c r="T49" s="1274"/>
      <c r="U49" s="238"/>
      <c r="V49" s="688"/>
      <c r="W49" s="263"/>
      <c r="X49" s="688"/>
      <c r="Y49" s="1184"/>
      <c r="Z49" s="2256"/>
      <c r="AA49" s="2126" t="s">
        <v>66</v>
      </c>
      <c r="AB49" s="2256"/>
      <c r="AC49" s="2126" t="s">
        <v>66</v>
      </c>
      <c r="AD49" s="688"/>
      <c r="AE49" s="263"/>
      <c r="AF49" s="688"/>
      <c r="AG49" s="1184"/>
      <c r="AH49" s="2256"/>
      <c r="AI49" s="2126" t="s">
        <v>66</v>
      </c>
      <c r="AJ49" s="2258"/>
      <c r="AK49" s="2126" t="s">
        <v>66</v>
      </c>
      <c r="AL49" s="1275"/>
      <c r="AM49" s="2274"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87"/>
      <c r="F50" s="2287"/>
      <c r="G50" s="2287"/>
      <c r="H50" s="2287"/>
      <c r="I50" s="2098"/>
      <c r="J50" s="2098"/>
      <c r="K50" s="2116"/>
      <c r="L50" s="1237"/>
      <c r="P50" s="2255"/>
      <c r="Q50" s="2255"/>
      <c r="R50" s="294"/>
      <c r="S50" s="1889"/>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1551"/>
      <c r="AP50" s="1551" t="str">
        <f t="shared" si="1"/>
        <v/>
      </c>
      <c r="AQ50" s="1551"/>
      <c r="AR50" s="1551"/>
      <c r="AS50" s="1558">
        <v>1</v>
      </c>
    </row>
    <row r="51" spans="1:45" ht="11.45" customHeight="1">
      <c r="A51" s="1194" t="s">
        <v>218</v>
      </c>
      <c r="B51" s="1194" t="s">
        <v>219</v>
      </c>
      <c r="C51" s="1194" t="s">
        <v>220</v>
      </c>
      <c r="D51" s="1194" t="s">
        <v>221</v>
      </c>
      <c r="E51" s="2287"/>
      <c r="F51" s="2287"/>
      <c r="G51" s="2287"/>
      <c r="H51" s="2287"/>
      <c r="I51" s="2098"/>
      <c r="J51" s="2116"/>
      <c r="K51" s="1194"/>
      <c r="L51" s="1237"/>
      <c r="P51" s="2255"/>
      <c r="Q51" s="2255"/>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76"/>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87"/>
      <c r="F52" s="2287"/>
      <c r="G52" s="2287"/>
      <c r="H52" s="2287"/>
      <c r="I52" s="2116"/>
      <c r="J52" s="1194"/>
      <c r="K52" s="1194"/>
      <c r="L52" s="1237"/>
      <c r="P52" s="2255"/>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87"/>
      <c r="F53" s="2287"/>
      <c r="G53" s="2287"/>
      <c r="H53" s="2286"/>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87"/>
      <c r="F54" s="2287"/>
      <c r="G54" s="2286"/>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87"/>
      <c r="F55" s="2286"/>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86"/>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8">
        <v>27</v>
      </c>
    </row>
    <row r="60" spans="1:45" ht="65.25" customHeight="1">
      <c r="O60" s="1562"/>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8">
        <v>62</v>
      </c>
    </row>
    <row r="61" spans="1:45" ht="14.65" customHeight="1">
      <c r="O61" s="1562"/>
      <c r="AS61" s="1558">
        <v>14</v>
      </c>
    </row>
    <row r="62" spans="1:45" ht="18.75" customHeight="1">
      <c r="O62" s="1562"/>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8">
        <v>18</v>
      </c>
    </row>
    <row r="63" spans="1:45" ht="18.75" customHeight="1">
      <c r="O63" s="1562"/>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8">
        <v>18</v>
      </c>
    </row>
    <row r="64" spans="1:45" ht="29.25" customHeight="1">
      <c r="O64" s="1562"/>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09" hidden="1" customWidth="1"/>
    <col min="15" max="15" width="23.42578125" style="2009"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86">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1551"/>
      <c r="AP2" s="1551" t="str">
        <f t="shared" ref="AP2:AP15" si="0">IF(T2="","",T2)</f>
        <v>Наименование тарифа</v>
      </c>
      <c r="AQ2" s="1551"/>
      <c r="AR2" s="1551"/>
      <c r="AS2" s="1558">
        <v>0</v>
      </c>
    </row>
    <row r="3" spans="1:45" ht="21" hidden="1" customHeight="1">
      <c r="A3" s="1194"/>
      <c r="B3" s="1194"/>
      <c r="C3" s="1194"/>
      <c r="D3" s="1194"/>
      <c r="E3" s="2287"/>
      <c r="F3" s="2286">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1551"/>
      <c r="AP3" s="1551" t="str">
        <f t="shared" si="0"/>
        <v>Территория действия тарифа</v>
      </c>
      <c r="AQ3" s="1551"/>
      <c r="AR3" s="1551"/>
      <c r="AS3" s="1558">
        <v>0</v>
      </c>
    </row>
    <row r="4" spans="1:45" ht="23.25" hidden="1" customHeight="1">
      <c r="A4" s="1194"/>
      <c r="B4" s="1194"/>
      <c r="C4" s="1194"/>
      <c r="D4" s="1194"/>
      <c r="E4" s="2287"/>
      <c r="F4" s="2287"/>
      <c r="G4" s="2286">
        <v>1</v>
      </c>
      <c r="H4" s="1194"/>
      <c r="I4" s="1194"/>
      <c r="J4" s="1194"/>
      <c r="K4" s="1194"/>
      <c r="L4" s="1237"/>
      <c r="M4" s="1537"/>
      <c r="N4" s="1537"/>
      <c r="O4" s="1537"/>
      <c r="P4" s="291"/>
      <c r="Q4" s="289"/>
      <c r="R4" s="290"/>
      <c r="S4" s="1880"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87"/>
      <c r="F5" s="2287"/>
      <c r="G5" s="2287"/>
      <c r="H5" s="2286">
        <v>1</v>
      </c>
      <c r="I5" s="1194"/>
      <c r="J5" s="1194"/>
      <c r="K5" s="1194"/>
      <c r="L5" s="1237"/>
      <c r="M5" s="1537"/>
      <c r="N5" s="1537"/>
      <c r="O5" s="1537"/>
      <c r="P5" s="291"/>
      <c r="Q5" s="289"/>
      <c r="R5" s="290"/>
      <c r="S5" s="1880"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87"/>
      <c r="F6" s="2287"/>
      <c r="G6" s="2287"/>
      <c r="H6" s="2287"/>
      <c r="I6" s="2116" t="e">
        <f>S5&amp;".1"</f>
        <v>#N/A</v>
      </c>
      <c r="J6" s="1194"/>
      <c r="K6" s="1194"/>
      <c r="L6" s="1237" t="s">
        <v>409</v>
      </c>
      <c r="M6" s="1562"/>
      <c r="P6" s="2255">
        <v>1</v>
      </c>
      <c r="Q6" s="1876"/>
      <c r="R6" s="293"/>
      <c r="S6" s="1880" t="e">
        <f>$I6</f>
        <v>#N/A</v>
      </c>
      <c r="T6" s="223" t="s">
        <v>410</v>
      </c>
      <c r="U6" s="238"/>
      <c r="V6" s="2239"/>
      <c r="W6" s="2240"/>
      <c r="X6" s="2240"/>
      <c r="Y6" s="2240"/>
      <c r="Z6" s="2240"/>
      <c r="AA6" s="2240"/>
      <c r="AB6" s="2240"/>
      <c r="AC6" s="2241"/>
      <c r="AD6" s="2239"/>
      <c r="AE6" s="2240"/>
      <c r="AF6" s="2240"/>
      <c r="AG6" s="2240"/>
      <c r="AH6" s="2240"/>
      <c r="AI6" s="2240"/>
      <c r="AJ6" s="2240"/>
      <c r="AK6" s="2240"/>
      <c r="AL6" s="2241"/>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87"/>
      <c r="F7" s="2287"/>
      <c r="G7" s="2287"/>
      <c r="H7" s="2287"/>
      <c r="I7" s="2098"/>
      <c r="J7" s="2116" t="e">
        <f>I6&amp;".1"</f>
        <v>#N/A</v>
      </c>
      <c r="K7" s="1194"/>
      <c r="L7" s="1237" t="s">
        <v>412</v>
      </c>
      <c r="M7" s="1562"/>
      <c r="N7" s="1558"/>
      <c r="P7" s="2255"/>
      <c r="Q7" s="2255">
        <v>1</v>
      </c>
      <c r="R7" s="294"/>
      <c r="S7" s="1880" t="e">
        <f>$J7</f>
        <v>#N/A</v>
      </c>
      <c r="T7" s="224" t="s">
        <v>413</v>
      </c>
      <c r="U7" s="238"/>
      <c r="V7" s="2239"/>
      <c r="W7" s="2240"/>
      <c r="X7" s="2240"/>
      <c r="Y7" s="2240"/>
      <c r="Z7" s="2240"/>
      <c r="AA7" s="2240"/>
      <c r="AB7" s="2240"/>
      <c r="AC7" s="2241"/>
      <c r="AD7" s="2239"/>
      <c r="AE7" s="2240"/>
      <c r="AF7" s="2240"/>
      <c r="AG7" s="2240"/>
      <c r="AH7" s="2240"/>
      <c r="AI7" s="2240"/>
      <c r="AJ7" s="2240"/>
      <c r="AK7" s="2240"/>
      <c r="AL7" s="2241"/>
      <c r="AM7" s="1185" t="s">
        <v>414</v>
      </c>
      <c r="AO7" s="1551"/>
      <c r="AP7" s="1551" t="str">
        <f t="shared" si="0"/>
        <v>Группа потребителей</v>
      </c>
      <c r="AQ7" s="1551"/>
      <c r="AR7" s="1551"/>
      <c r="AS7" s="1558">
        <v>0</v>
      </c>
    </row>
    <row r="8" spans="1:45" ht="21" hidden="1" customHeight="1">
      <c r="A8" s="1194"/>
      <c r="B8" s="1194"/>
      <c r="C8" s="1194"/>
      <c r="D8" s="1194"/>
      <c r="E8" s="2287"/>
      <c r="F8" s="2287"/>
      <c r="G8" s="2287"/>
      <c r="H8" s="2287"/>
      <c r="I8" s="2098"/>
      <c r="J8" s="2098"/>
      <c r="K8" s="2116" t="e">
        <f>J7&amp;".1"</f>
        <v>#N/A</v>
      </c>
      <c r="L8" s="1237" t="s">
        <v>415</v>
      </c>
      <c r="M8" s="1562"/>
      <c r="N8" s="1558"/>
      <c r="O8" s="1558"/>
      <c r="P8" s="2255"/>
      <c r="Q8" s="2255"/>
      <c r="R8" s="294">
        <v>1</v>
      </c>
      <c r="S8" s="1880" t="e">
        <f>$K8</f>
        <v>#N/A</v>
      </c>
      <c r="T8" s="1274"/>
      <c r="U8" s="238"/>
      <c r="V8" s="688"/>
      <c r="W8" s="263"/>
      <c r="X8" s="688"/>
      <c r="Y8" s="1184"/>
      <c r="Z8" s="2256"/>
      <c r="AA8" s="2126" t="s">
        <v>66</v>
      </c>
      <c r="AB8" s="2256"/>
      <c r="AC8" s="2126" t="s">
        <v>66</v>
      </c>
      <c r="AD8" s="688"/>
      <c r="AE8" s="263"/>
      <c r="AF8" s="688"/>
      <c r="AG8" s="1184"/>
      <c r="AH8" s="2256"/>
      <c r="AI8" s="2126" t="s">
        <v>66</v>
      </c>
      <c r="AJ8" s="2256"/>
      <c r="AK8" s="2126" t="s">
        <v>66</v>
      </c>
      <c r="AL8" s="263"/>
      <c r="AM8" s="2274" t="s">
        <v>416</v>
      </c>
      <c r="AN8" s="1563" t="e">
        <f ca="1">STRCHECKDATE(V9:AL9)</f>
        <v>#NAME?</v>
      </c>
      <c r="AO8" s="1551"/>
      <c r="AP8" s="1551" t="str">
        <f t="shared" si="0"/>
        <v/>
      </c>
      <c r="AQ8" s="1551"/>
      <c r="AR8" s="1551"/>
      <c r="AS8" s="1558">
        <v>0</v>
      </c>
    </row>
    <row r="9" spans="1:45" ht="0.75" hidden="1" customHeight="1">
      <c r="A9" s="1194"/>
      <c r="B9" s="1194"/>
      <c r="C9" s="1194"/>
      <c r="D9" s="1194"/>
      <c r="E9" s="2287"/>
      <c r="F9" s="2287"/>
      <c r="G9" s="2287"/>
      <c r="H9" s="2287"/>
      <c r="I9" s="2098"/>
      <c r="J9" s="2098"/>
      <c r="K9" s="2116"/>
      <c r="L9" s="1237"/>
      <c r="M9" s="1562"/>
      <c r="N9" s="1558"/>
      <c r="O9" s="1558"/>
      <c r="P9" s="2255"/>
      <c r="Q9" s="2255"/>
      <c r="R9" s="294"/>
      <c r="S9" s="188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1551"/>
      <c r="AP9" s="1551" t="str">
        <f t="shared" si="0"/>
        <v/>
      </c>
      <c r="AQ9" s="1551"/>
      <c r="AR9" s="1551"/>
      <c r="AS9" s="1558">
        <v>0</v>
      </c>
    </row>
    <row r="10" spans="1:45" ht="15" hidden="1" customHeight="1">
      <c r="A10" s="1194"/>
      <c r="B10" s="1194"/>
      <c r="C10" s="1194"/>
      <c r="D10" s="1194"/>
      <c r="E10" s="2287"/>
      <c r="F10" s="2287"/>
      <c r="G10" s="2287"/>
      <c r="H10" s="2287"/>
      <c r="I10" s="2098"/>
      <c r="J10" s="2116"/>
      <c r="K10" s="1194"/>
      <c r="L10" s="1237"/>
      <c r="M10" s="1562"/>
      <c r="N10" s="1558"/>
      <c r="P10" s="2255"/>
      <c r="Q10" s="2255"/>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7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87"/>
      <c r="F11" s="2287"/>
      <c r="G11" s="2287"/>
      <c r="H11" s="2287"/>
      <c r="I11" s="2116"/>
      <c r="J11" s="1194"/>
      <c r="K11" s="1194"/>
      <c r="L11" s="1237"/>
      <c r="M11" s="1562"/>
      <c r="P11" s="2255"/>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87"/>
      <c r="F12" s="2287"/>
      <c r="G12" s="2287"/>
      <c r="H12" s="2286"/>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87"/>
      <c r="F13" s="2287"/>
      <c r="G13" s="2286"/>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87"/>
      <c r="F14" s="2286"/>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86"/>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49"/>
      <c r="AI17" s="2248" t="s">
        <v>66</v>
      </c>
      <c r="AJ17" s="2249"/>
      <c r="AK17" s="2248" t="s">
        <v>66</v>
      </c>
      <c r="AS17" s="1558">
        <v>0</v>
      </c>
    </row>
    <row r="18" spans="1:45" ht="14.25" hidden="1" customHeight="1">
      <c r="AD18" s="1287"/>
      <c r="AE18" s="1287"/>
      <c r="AF18" s="1287"/>
      <c r="AG18" s="266" t="str">
        <f>AH17&amp;"-"&amp;AJ17</f>
        <v>-</v>
      </c>
      <c r="AH18" s="2248"/>
      <c r="AI18" s="2248"/>
      <c r="AJ18" s="2248"/>
      <c r="AK18" s="224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70"/>
      <c r="AS26" s="1558">
        <v>14</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42" t="s">
        <v>42</v>
      </c>
      <c r="T29" s="2242"/>
      <c r="U29" s="1299"/>
      <c r="V29" s="2244" t="str">
        <f>IF(TITLE_NAME_OR_PR_CHANGE="",IF(TITLE_NAME_OR_PR="","",TITLE_NAME_OR_PR),TITLE_NAME_OR_PR_CHANGE)</f>
        <v/>
      </c>
      <c r="W29" s="2244"/>
      <c r="X29" s="2244"/>
      <c r="Y29" s="2244"/>
      <c r="Z29" s="2244"/>
      <c r="AA29" s="2244"/>
      <c r="AB29" s="2244"/>
      <c r="AC29" s="1562"/>
      <c r="AD29" s="2244" t="str">
        <f>IF(TITLE_NAME_OR_PR_CHANGE="",IF(TITLE_NAME_OR_PR="","",TITLE_NAME_OR_PR),TITLE_NAME_OR_PR_CHANGE)</f>
        <v/>
      </c>
      <c r="AE29" s="2244"/>
      <c r="AF29" s="2244"/>
      <c r="AG29" s="2244"/>
      <c r="AH29" s="2244"/>
      <c r="AI29" s="2244"/>
      <c r="AJ29" s="2244"/>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42" t="s">
        <v>426</v>
      </c>
      <c r="T30" s="2242"/>
      <c r="U30" s="1299"/>
      <c r="V30" s="2243">
        <f>IF(TITLE_DATE_PR_CHANGE="",IF(TITLE_DATE_PR="","",TITLE_DATE_PR),TITLE_DATE_PR_CHANGE)</f>
        <v>45777</v>
      </c>
      <c r="W30" s="2243"/>
      <c r="X30" s="2243"/>
      <c r="Y30" s="2243"/>
      <c r="Z30" s="2243"/>
      <c r="AA30" s="2243"/>
      <c r="AB30" s="2243"/>
      <c r="AC30" s="1562"/>
      <c r="AD30" s="2243">
        <f>IF(TITLE_DATE_PR_CHANGE="",IF(TITLE_DATE_PR="","",TITLE_DATE_PR),TITLE_DATE_PR_CHANGE)</f>
        <v>45777</v>
      </c>
      <c r="AE30" s="2243"/>
      <c r="AF30" s="2243"/>
      <c r="AG30" s="2243"/>
      <c r="AH30" s="2243"/>
      <c r="AI30" s="2243"/>
      <c r="AJ30" s="2243"/>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42" t="s">
        <v>427</v>
      </c>
      <c r="T31" s="2242"/>
      <c r="U31" s="1299"/>
      <c r="V31" s="2244" t="str">
        <f>IF(TITLE_NUMBER_PR_CHANGE="",IF(TITLE_NUMBER_PR="","",TITLE_NUMBER_PR),TITLE_NUMBER_PR_CHANGE)</f>
        <v>466</v>
      </c>
      <c r="W31" s="2244"/>
      <c r="X31" s="2244"/>
      <c r="Y31" s="2244"/>
      <c r="Z31" s="2244"/>
      <c r="AA31" s="2244"/>
      <c r="AB31" s="2244"/>
      <c r="AC31" s="1562"/>
      <c r="AD31" s="2244" t="str">
        <f>IF(TITLE_NUMBER_PR_CHANGE="",IF(TITLE_NUMBER_PR="","",TITLE_NUMBER_PR),TITLE_NUMBER_PR_CHANGE)</f>
        <v>466</v>
      </c>
      <c r="AE31" s="2244"/>
      <c r="AF31" s="2244"/>
      <c r="AG31" s="2244"/>
      <c r="AH31" s="2244"/>
      <c r="AI31" s="2244"/>
      <c r="AJ31" s="2244"/>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42" t="s">
        <v>43</v>
      </c>
      <c r="T32" s="2242"/>
      <c r="U32" s="1299"/>
      <c r="V32" s="2244" t="str">
        <f>IF(TITLE_IST_PUB_CHANGE="",IF(TITLE_IST_PUB="","",TITLE_IST_PUB),TITLE_IST_PUB_CHANGE)</f>
        <v/>
      </c>
      <c r="W32" s="2244"/>
      <c r="X32" s="2244"/>
      <c r="Y32" s="2244"/>
      <c r="Z32" s="2244"/>
      <c r="AA32" s="2244"/>
      <c r="AB32" s="2244"/>
      <c r="AC32" s="1562"/>
      <c r="AD32" s="2244" t="str">
        <f>IF(TITLE_IST_PUB_CHANGE="",IF(TITLE_IST_PUB="","",TITLE_IST_PUB),TITLE_IST_PUB_CHANGE)</f>
        <v/>
      </c>
      <c r="AE32" s="2244"/>
      <c r="AF32" s="2244"/>
      <c r="AG32" s="2244"/>
      <c r="AH32" s="2244"/>
      <c r="AI32" s="2244"/>
      <c r="AJ32" s="2244"/>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42" t="s">
        <v>428</v>
      </c>
      <c r="T34" s="2242"/>
      <c r="U34" s="1299"/>
      <c r="V34" s="2243">
        <f>IF(TITLE_DATE_PR_CHANGE="",IF(TITLE_DATE_PR="","",TITLE_DATE_PR),TITLE_DATE_PR_CHANGE)</f>
        <v>45777</v>
      </c>
      <c r="W34" s="2243"/>
      <c r="X34" s="2243"/>
      <c r="Y34" s="2243"/>
      <c r="Z34" s="2243"/>
      <c r="AA34" s="2243"/>
      <c r="AB34" s="2243"/>
      <c r="AC34" s="1562"/>
      <c r="AD34" s="2243">
        <f>IF(TITLE_DATE_PR_CHANGE="",IF(TITLE_DATE_PR="","",TITLE_DATE_PR),TITLE_DATE_PR_CHANGE)</f>
        <v>45777</v>
      </c>
      <c r="AE34" s="2243"/>
      <c r="AF34" s="2243"/>
      <c r="AG34" s="2243"/>
      <c r="AH34" s="2243"/>
      <c r="AI34" s="2243"/>
      <c r="AJ34" s="2243"/>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42" t="s">
        <v>429</v>
      </c>
      <c r="T35" s="2242"/>
      <c r="U35" s="1299"/>
      <c r="V35" s="2244" t="str">
        <f>IF(TITLE_NUMBER_PR_CHANGE="",IF(TITLE_NUMBER_PR="","",TITLE_NUMBER_PR),TITLE_NUMBER_PR_CHANGE)</f>
        <v>466</v>
      </c>
      <c r="W35" s="2244"/>
      <c r="X35" s="2244"/>
      <c r="Y35" s="2244"/>
      <c r="Z35" s="2244"/>
      <c r="AA35" s="2244"/>
      <c r="AB35" s="2244"/>
      <c r="AC35" s="1562"/>
      <c r="AD35" s="2244" t="str">
        <f>IF(TITLE_NUMBER_PR_CHANGE="",IF(TITLE_NUMBER_PR="","",TITLE_NUMBER_PR),TITLE_NUMBER_PR_CHANGE)</f>
        <v>466</v>
      </c>
      <c r="AE35" s="2244"/>
      <c r="AF35" s="2244"/>
      <c r="AG35" s="2244"/>
      <c r="AH35" s="2244"/>
      <c r="AI35" s="2244"/>
      <c r="AJ35" s="2244"/>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63"/>
      <c r="W37" s="2263"/>
      <c r="X37" s="2263"/>
      <c r="Y37" s="2263"/>
      <c r="Z37" s="2263"/>
      <c r="AA37" s="2263"/>
      <c r="AB37" s="2263"/>
      <c r="AC37" s="2263"/>
      <c r="AD37" s="2263"/>
      <c r="AE37" s="2263"/>
      <c r="AF37" s="2263"/>
      <c r="AG37" s="2263"/>
      <c r="AH37" s="2263"/>
      <c r="AI37" s="2263"/>
      <c r="AJ37" s="2263"/>
      <c r="AK37" s="2263"/>
      <c r="AS37" s="1558">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558">
        <v>14</v>
      </c>
    </row>
    <row r="39" spans="1:45" ht="14.65" customHeight="1">
      <c r="Q39" s="313"/>
      <c r="R39" s="313"/>
      <c r="S39" s="2264" t="s">
        <v>88</v>
      </c>
      <c r="T39" s="2212" t="s">
        <v>431</v>
      </c>
      <c r="U39" s="275"/>
      <c r="V39" s="2265" t="s">
        <v>432</v>
      </c>
      <c r="W39" s="2266"/>
      <c r="X39" s="2266"/>
      <c r="Y39" s="2266"/>
      <c r="Z39" s="2266"/>
      <c r="AA39" s="2266"/>
      <c r="AB39" s="2267"/>
      <c r="AC39" s="2268" t="s">
        <v>433</v>
      </c>
      <c r="AD39" s="2265" t="s">
        <v>432</v>
      </c>
      <c r="AE39" s="2266"/>
      <c r="AF39" s="2266"/>
      <c r="AG39" s="2266"/>
      <c r="AH39" s="2266"/>
      <c r="AI39" s="2266"/>
      <c r="AJ39" s="2267"/>
      <c r="AK39" s="2268" t="s">
        <v>434</v>
      </c>
      <c r="AL39" s="2271" t="s">
        <v>435</v>
      </c>
      <c r="AM39" s="2116"/>
      <c r="AS39" s="1558">
        <v>14</v>
      </c>
    </row>
    <row r="40" spans="1:45" ht="35.65" customHeight="1">
      <c r="Q40" s="313"/>
      <c r="R40" s="313"/>
      <c r="S40" s="2264"/>
      <c r="T40" s="2212"/>
      <c r="U40" s="961"/>
      <c r="V40" s="2184" t="s">
        <v>436</v>
      </c>
      <c r="W40" s="2260" t="s">
        <v>437</v>
      </c>
      <c r="X40" s="2098" t="s">
        <v>438</v>
      </c>
      <c r="Y40" s="2097"/>
      <c r="Z40" s="2098" t="s">
        <v>452</v>
      </c>
      <c r="AA40" s="2103"/>
      <c r="AB40" s="2097"/>
      <c r="AC40" s="2269"/>
      <c r="AD40" s="2184" t="s">
        <v>436</v>
      </c>
      <c r="AE40" s="2260" t="s">
        <v>437</v>
      </c>
      <c r="AF40" s="2098" t="s">
        <v>438</v>
      </c>
      <c r="AG40" s="2097"/>
      <c r="AH40" s="2098" t="s">
        <v>439</v>
      </c>
      <c r="AI40" s="2103"/>
      <c r="AJ40" s="2097"/>
      <c r="AK40" s="2269"/>
      <c r="AL40" s="2272"/>
      <c r="AM40" s="2116"/>
      <c r="AS40" s="1558">
        <v>34</v>
      </c>
    </row>
    <row r="41" spans="1:45" ht="35.65" customHeight="1">
      <c r="A41" s="1193"/>
      <c r="B41" s="1193" t="s">
        <v>136</v>
      </c>
      <c r="C41" s="1193" t="s">
        <v>137</v>
      </c>
      <c r="D41" s="1193" t="s">
        <v>138</v>
      </c>
      <c r="E41" s="1237" t="s">
        <v>440</v>
      </c>
      <c r="F41" s="1237" t="s">
        <v>441</v>
      </c>
      <c r="G41" s="1237" t="s">
        <v>442</v>
      </c>
      <c r="H41" s="1237" t="s">
        <v>443</v>
      </c>
      <c r="I41" s="1237" t="s">
        <v>444</v>
      </c>
      <c r="J41" s="1237" t="s">
        <v>445</v>
      </c>
      <c r="K41" s="1237" t="s">
        <v>446</v>
      </c>
      <c r="L41" s="1237" t="s">
        <v>421</v>
      </c>
      <c r="Q41" s="313"/>
      <c r="R41" s="313"/>
      <c r="S41" s="2264"/>
      <c r="T41" s="2212"/>
      <c r="U41" s="240"/>
      <c r="V41" s="2237"/>
      <c r="W41" s="2261"/>
      <c r="X41" s="1860" t="s">
        <v>447</v>
      </c>
      <c r="Y41" s="1860" t="s">
        <v>448</v>
      </c>
      <c r="Z41" s="1860" t="s">
        <v>449</v>
      </c>
      <c r="AA41" s="2217" t="s">
        <v>450</v>
      </c>
      <c r="AB41" s="2231"/>
      <c r="AC41" s="2270"/>
      <c r="AD41" s="2237"/>
      <c r="AE41" s="2261"/>
      <c r="AF41" s="1860" t="s">
        <v>447</v>
      </c>
      <c r="AG41" s="1860" t="s">
        <v>448</v>
      </c>
      <c r="AH41" s="1860" t="s">
        <v>449</v>
      </c>
      <c r="AI41" s="2217" t="s">
        <v>450</v>
      </c>
      <c r="AJ41" s="2231"/>
      <c r="AK41" s="2270"/>
      <c r="AL41" s="2273"/>
      <c r="AM41" s="2116"/>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62">
        <f ca="1">OFFSET(AA42,0,-1)+1</f>
        <v>4</v>
      </c>
      <c r="AB42" s="2262"/>
      <c r="AC42" s="1878">
        <f ca="1">OFFSET(AC42,0,-2)+1</f>
        <v>5</v>
      </c>
      <c r="AD42" s="1878">
        <f ca="1">OFFSET(AD42,0,-1)+1</f>
        <v>6</v>
      </c>
      <c r="AE42" s="1878"/>
      <c r="AF42" s="1878">
        <f ca="1">OFFSET(AF42,0,-1)+1</f>
        <v>1</v>
      </c>
      <c r="AG42" s="1878">
        <f ca="1">OFFSET(AG42,0,-1)+1</f>
        <v>2</v>
      </c>
      <c r="AH42" s="1878">
        <f ca="1">OFFSET(AH42,0,-1)+1</f>
        <v>3</v>
      </c>
      <c r="AI42" s="2262">
        <f ca="1">OFFSET(AI42,0,-1)+1</f>
        <v>4</v>
      </c>
      <c r="AJ42" s="2262"/>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8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87"/>
      <c r="F44" s="2286">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87"/>
      <c r="F45" s="2287"/>
      <c r="G45" s="2286">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87"/>
      <c r="F46" s="2287"/>
      <c r="G46" s="2287"/>
      <c r="H46" s="2286">
        <v>1</v>
      </c>
      <c r="I46" s="1194"/>
      <c r="J46" s="1194"/>
      <c r="K46" s="1194"/>
      <c r="L46" s="1237"/>
      <c r="M46" s="1537"/>
      <c r="N46" s="1537"/>
      <c r="O46" s="1537"/>
      <c r="P46" s="291"/>
      <c r="Q46" s="289"/>
      <c r="R46" s="290"/>
      <c r="S46" s="1880"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87"/>
      <c r="F47" s="2287"/>
      <c r="G47" s="2287"/>
      <c r="H47" s="2287"/>
      <c r="I47" s="2116" t="str">
        <f>S46&amp;".1"</f>
        <v>....1</v>
      </c>
      <c r="J47" s="1194"/>
      <c r="K47" s="1194"/>
      <c r="L47" s="1237" t="s">
        <v>409</v>
      </c>
      <c r="P47" s="2255">
        <v>1</v>
      </c>
      <c r="Q47" s="1876"/>
      <c r="R47" s="293"/>
      <c r="S47" s="1880" t="str">
        <f>$I47</f>
        <v>....1</v>
      </c>
      <c r="T47" s="223" t="s">
        <v>410</v>
      </c>
      <c r="U47" s="238"/>
      <c r="V47" s="2239"/>
      <c r="W47" s="2240"/>
      <c r="X47" s="2240"/>
      <c r="Y47" s="2240"/>
      <c r="Z47" s="2240"/>
      <c r="AA47" s="2240"/>
      <c r="AB47" s="2240"/>
      <c r="AC47" s="2241"/>
      <c r="AD47" s="2239"/>
      <c r="AE47" s="2240"/>
      <c r="AF47" s="2240"/>
      <c r="AG47" s="2240"/>
      <c r="AH47" s="2240"/>
      <c r="AI47" s="2240"/>
      <c r="AJ47" s="2240"/>
      <c r="AK47" s="2240"/>
      <c r="AL47" s="2241"/>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87"/>
      <c r="F48" s="2287"/>
      <c r="G48" s="2287"/>
      <c r="H48" s="2287"/>
      <c r="I48" s="2098"/>
      <c r="J48" s="2116" t="str">
        <f>I47&amp;".1"</f>
        <v>....1.1</v>
      </c>
      <c r="K48" s="1194"/>
      <c r="L48" s="1237" t="s">
        <v>412</v>
      </c>
      <c r="P48" s="2255"/>
      <c r="Q48" s="2255">
        <v>1</v>
      </c>
      <c r="R48" s="294"/>
      <c r="S48" s="1880" t="str">
        <f>$J48</f>
        <v>....1.1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87"/>
      <c r="F49" s="2287"/>
      <c r="G49" s="2287"/>
      <c r="H49" s="2287"/>
      <c r="I49" s="2098"/>
      <c r="J49" s="2098"/>
      <c r="K49" s="2116" t="str">
        <f>J48&amp;".1"</f>
        <v>....1.1.1</v>
      </c>
      <c r="L49" s="1237" t="s">
        <v>415</v>
      </c>
      <c r="P49" s="2255"/>
      <c r="Q49" s="2255"/>
      <c r="R49" s="294">
        <v>1</v>
      </c>
      <c r="S49" s="1880" t="str">
        <f>$K49</f>
        <v>....1.1.1</v>
      </c>
      <c r="T49" s="1274"/>
      <c r="U49" s="238"/>
      <c r="V49" s="688"/>
      <c r="W49" s="263"/>
      <c r="X49" s="688"/>
      <c r="Y49" s="1184"/>
      <c r="Z49" s="2256"/>
      <c r="AA49" s="2126" t="s">
        <v>66</v>
      </c>
      <c r="AB49" s="2256"/>
      <c r="AC49" s="2126" t="s">
        <v>66</v>
      </c>
      <c r="AD49" s="688"/>
      <c r="AE49" s="263"/>
      <c r="AF49" s="688"/>
      <c r="AG49" s="1184"/>
      <c r="AH49" s="2256"/>
      <c r="AI49" s="2126" t="s">
        <v>66</v>
      </c>
      <c r="AJ49" s="2258"/>
      <c r="AK49" s="2126" t="s">
        <v>66</v>
      </c>
      <c r="AL49" s="1275"/>
      <c r="AM49" s="2274"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87"/>
      <c r="F50" s="2287"/>
      <c r="G50" s="2287"/>
      <c r="H50" s="2287"/>
      <c r="I50" s="2098"/>
      <c r="J50" s="2098"/>
      <c r="K50" s="2116"/>
      <c r="L50" s="1237"/>
      <c r="P50" s="2255"/>
      <c r="Q50" s="2255"/>
      <c r="R50" s="294"/>
      <c r="S50" s="1889"/>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1551"/>
      <c r="AP50" s="1551" t="str">
        <f t="shared" si="1"/>
        <v/>
      </c>
      <c r="AQ50" s="1551"/>
      <c r="AR50" s="1551"/>
      <c r="AS50" s="1558">
        <v>1</v>
      </c>
    </row>
    <row r="51" spans="1:45" ht="11.45" customHeight="1">
      <c r="A51" s="1194" t="s">
        <v>218</v>
      </c>
      <c r="B51" s="1194" t="s">
        <v>219</v>
      </c>
      <c r="C51" s="1194" t="s">
        <v>220</v>
      </c>
      <c r="D51" s="1194" t="s">
        <v>221</v>
      </c>
      <c r="E51" s="2287"/>
      <c r="F51" s="2287"/>
      <c r="G51" s="2287"/>
      <c r="H51" s="2287"/>
      <c r="I51" s="2098"/>
      <c r="J51" s="2116"/>
      <c r="K51" s="1194"/>
      <c r="L51" s="1237"/>
      <c r="P51" s="2255"/>
      <c r="Q51" s="2255"/>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76"/>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87"/>
      <c r="F52" s="2287"/>
      <c r="G52" s="2287"/>
      <c r="H52" s="2287"/>
      <c r="I52" s="2116"/>
      <c r="J52" s="1194"/>
      <c r="K52" s="1194"/>
      <c r="L52" s="1237"/>
      <c r="P52" s="2255"/>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87"/>
      <c r="F53" s="2287"/>
      <c r="G53" s="2287"/>
      <c r="H53" s="2286"/>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87"/>
      <c r="F54" s="2287"/>
      <c r="G54" s="2286"/>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87"/>
      <c r="F55" s="2286"/>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86"/>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8">
        <v>27</v>
      </c>
    </row>
    <row r="60" spans="1:45" ht="65.25" customHeight="1">
      <c r="O60" s="1562"/>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8">
        <v>62</v>
      </c>
    </row>
    <row r="61" spans="1:45" ht="14.65" customHeight="1">
      <c r="O61" s="1562"/>
      <c r="AS61" s="1558">
        <v>14</v>
      </c>
    </row>
    <row r="62" spans="1:45" ht="18.75" customHeight="1">
      <c r="O62" s="1562"/>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8">
        <v>18</v>
      </c>
    </row>
    <row r="63" spans="1:45" ht="18.75" customHeight="1">
      <c r="O63" s="1562"/>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8">
        <v>18</v>
      </c>
    </row>
    <row r="64" spans="1:45" ht="29.25" customHeight="1">
      <c r="O64" s="1562"/>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51">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437"/>
      <c r="AP2" s="437" t="str">
        <f t="shared" ref="AP2:AP15" si="0">IF(T2="","",T2)</f>
        <v>Наименование тарифа</v>
      </c>
      <c r="AQ2" s="437"/>
      <c r="AR2" s="437"/>
      <c r="AS2" s="1082">
        <v>0</v>
      </c>
    </row>
    <row r="3" spans="1:45" ht="21" hidden="1" customHeight="1">
      <c r="A3" s="1290"/>
      <c r="B3" s="1290"/>
      <c r="C3" s="1290"/>
      <c r="D3" s="1290"/>
      <c r="E3" s="2252"/>
      <c r="F3" s="225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437"/>
      <c r="AP3" s="437" t="str">
        <f t="shared" si="0"/>
        <v>Территория действия тарифа</v>
      </c>
      <c r="AQ3" s="437"/>
      <c r="AR3" s="437"/>
      <c r="AS3" s="1082">
        <v>0</v>
      </c>
    </row>
    <row r="4" spans="1:45" ht="23.25" hidden="1" customHeight="1">
      <c r="A4" s="1290"/>
      <c r="B4" s="1290"/>
      <c r="C4" s="1290"/>
      <c r="D4" s="1290"/>
      <c r="E4" s="2252"/>
      <c r="F4" s="2252"/>
      <c r="G4" s="2251">
        <v>1</v>
      </c>
      <c r="H4" s="1290"/>
      <c r="I4" s="1290"/>
      <c r="J4" s="1290"/>
      <c r="K4" s="1290"/>
      <c r="L4" s="1291"/>
      <c r="M4" s="1292"/>
      <c r="N4" s="1292"/>
      <c r="O4" s="1292"/>
      <c r="P4" s="291"/>
      <c r="Q4" s="289"/>
      <c r="R4" s="290"/>
      <c r="S4" s="1263"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52"/>
      <c r="F5" s="2252"/>
      <c r="G5" s="2252"/>
      <c r="H5" s="2251">
        <v>1</v>
      </c>
      <c r="I5" s="1290"/>
      <c r="J5" s="1290"/>
      <c r="K5" s="1290"/>
      <c r="L5" s="1291"/>
      <c r="M5" s="1292"/>
      <c r="N5" s="1292"/>
      <c r="O5" s="1292"/>
      <c r="P5" s="291"/>
      <c r="Q5" s="289"/>
      <c r="R5" s="290"/>
      <c r="S5" s="1263"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52"/>
      <c r="F6" s="2252"/>
      <c r="G6" s="2252"/>
      <c r="H6" s="2252"/>
      <c r="I6" s="2253" t="e">
        <f>S5&amp;".1"</f>
        <v>#N/A</v>
      </c>
      <c r="J6" s="1290"/>
      <c r="K6" s="1290"/>
      <c r="L6" s="1291" t="s">
        <v>409</v>
      </c>
      <c r="M6" s="474"/>
      <c r="P6" s="2255">
        <v>1</v>
      </c>
      <c r="Q6" s="1258"/>
      <c r="R6" s="293"/>
      <c r="S6" s="1263" t="e">
        <f>$I6</f>
        <v>#N/A</v>
      </c>
      <c r="T6" s="223" t="s">
        <v>410</v>
      </c>
      <c r="U6" s="238"/>
      <c r="V6" s="2239"/>
      <c r="W6" s="2240"/>
      <c r="X6" s="2240"/>
      <c r="Y6" s="2240"/>
      <c r="Z6" s="2240"/>
      <c r="AA6" s="2240"/>
      <c r="AB6" s="2240"/>
      <c r="AC6" s="2241"/>
      <c r="AD6" s="2239"/>
      <c r="AE6" s="2240"/>
      <c r="AF6" s="2240"/>
      <c r="AG6" s="2240"/>
      <c r="AH6" s="2240"/>
      <c r="AI6" s="2240"/>
      <c r="AJ6" s="2240"/>
      <c r="AK6" s="2240"/>
      <c r="AL6" s="2241"/>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52"/>
      <c r="F7" s="2252"/>
      <c r="G7" s="2252"/>
      <c r="H7" s="2252"/>
      <c r="I7" s="2254"/>
      <c r="J7" s="2253" t="e">
        <f>I6&amp;".1"</f>
        <v>#N/A</v>
      </c>
      <c r="K7" s="1290"/>
      <c r="L7" s="1291" t="s">
        <v>412</v>
      </c>
      <c r="M7" s="474"/>
      <c r="N7" s="1293"/>
      <c r="P7" s="2255"/>
      <c r="Q7" s="2255">
        <v>1</v>
      </c>
      <c r="R7" s="294"/>
      <c r="S7" s="1263" t="e">
        <f>$J7</f>
        <v>#N/A</v>
      </c>
      <c r="T7" s="224" t="s">
        <v>413</v>
      </c>
      <c r="U7" s="238"/>
      <c r="V7" s="2239"/>
      <c r="W7" s="2240"/>
      <c r="X7" s="2240"/>
      <c r="Y7" s="2240"/>
      <c r="Z7" s="2240"/>
      <c r="AA7" s="2240"/>
      <c r="AB7" s="2240"/>
      <c r="AC7" s="2241"/>
      <c r="AD7" s="2239"/>
      <c r="AE7" s="2240"/>
      <c r="AF7" s="2240"/>
      <c r="AG7" s="2240"/>
      <c r="AH7" s="2240"/>
      <c r="AI7" s="2240"/>
      <c r="AJ7" s="2240"/>
      <c r="AK7" s="2240"/>
      <c r="AL7" s="2241"/>
      <c r="AM7" s="1185" t="s">
        <v>414</v>
      </c>
      <c r="AO7" s="437"/>
      <c r="AP7" s="437" t="str">
        <f t="shared" si="0"/>
        <v>Группа потребителей</v>
      </c>
      <c r="AQ7" s="437"/>
      <c r="AR7" s="437"/>
      <c r="AS7" s="1082">
        <v>0</v>
      </c>
    </row>
    <row r="8" spans="1:45" ht="21" hidden="1" customHeight="1">
      <c r="A8" s="1290"/>
      <c r="B8" s="1290"/>
      <c r="C8" s="1290"/>
      <c r="D8" s="1290"/>
      <c r="E8" s="2252"/>
      <c r="F8" s="2252"/>
      <c r="G8" s="2252"/>
      <c r="H8" s="2252"/>
      <c r="I8" s="2254"/>
      <c r="J8" s="2254"/>
      <c r="K8" s="2253" t="e">
        <f>J7&amp;".1"</f>
        <v>#N/A</v>
      </c>
      <c r="L8" s="1291" t="s">
        <v>415</v>
      </c>
      <c r="M8" s="474"/>
      <c r="N8" s="1293"/>
      <c r="O8" s="1293"/>
      <c r="P8" s="2255"/>
      <c r="Q8" s="2255"/>
      <c r="R8" s="294">
        <v>1</v>
      </c>
      <c r="S8" s="1263" t="e">
        <f>$K8</f>
        <v>#N/A</v>
      </c>
      <c r="T8" s="1274"/>
      <c r="U8" s="238"/>
      <c r="V8" s="263"/>
      <c r="W8" s="688"/>
      <c r="X8" s="263"/>
      <c r="Y8" s="321"/>
      <c r="Z8" s="2256"/>
      <c r="AA8" s="2126" t="s">
        <v>66</v>
      </c>
      <c r="AB8" s="2256"/>
      <c r="AC8" s="2126" t="s">
        <v>66</v>
      </c>
      <c r="AD8" s="263"/>
      <c r="AE8" s="688"/>
      <c r="AF8" s="263"/>
      <c r="AG8" s="321"/>
      <c r="AH8" s="2256"/>
      <c r="AI8" s="2126" t="s">
        <v>66</v>
      </c>
      <c r="AJ8" s="2256"/>
      <c r="AK8" s="2126" t="s">
        <v>66</v>
      </c>
      <c r="AL8" s="263"/>
      <c r="AM8" s="2274" t="s">
        <v>416</v>
      </c>
      <c r="AN8" s="448" t="e">
        <f ca="1">STRCHECKDATE(V9:AL9)</f>
        <v>#NAME?</v>
      </c>
      <c r="AO8" s="437"/>
      <c r="AP8" s="437" t="str">
        <f t="shared" si="0"/>
        <v/>
      </c>
      <c r="AQ8" s="437"/>
      <c r="AR8" s="437"/>
      <c r="AS8" s="1082">
        <v>0</v>
      </c>
    </row>
    <row r="9" spans="1:45" ht="0.75" hidden="1" customHeight="1">
      <c r="A9" s="1290"/>
      <c r="B9" s="1290"/>
      <c r="C9" s="1290"/>
      <c r="D9" s="1290"/>
      <c r="E9" s="2252"/>
      <c r="F9" s="2252"/>
      <c r="G9" s="2252"/>
      <c r="H9" s="2252"/>
      <c r="I9" s="2254"/>
      <c r="J9" s="2254"/>
      <c r="K9" s="2253"/>
      <c r="L9" s="1291"/>
      <c r="M9" s="474"/>
      <c r="N9" s="1293"/>
      <c r="O9" s="1293"/>
      <c r="P9" s="2255"/>
      <c r="Q9" s="2255"/>
      <c r="R9" s="294"/>
      <c r="S9" s="126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437"/>
      <c r="AP9" s="437" t="str">
        <f t="shared" si="0"/>
        <v/>
      </c>
      <c r="AQ9" s="437"/>
      <c r="AR9" s="437"/>
      <c r="AS9" s="1082">
        <v>0</v>
      </c>
    </row>
    <row r="10" spans="1:45" ht="15" hidden="1" customHeight="1">
      <c r="A10" s="1290"/>
      <c r="B10" s="1290"/>
      <c r="C10" s="1290"/>
      <c r="D10" s="1290"/>
      <c r="E10" s="2252"/>
      <c r="F10" s="2252"/>
      <c r="G10" s="2252"/>
      <c r="H10" s="2252"/>
      <c r="I10" s="2254"/>
      <c r="J10" s="2253"/>
      <c r="K10" s="1290"/>
      <c r="L10" s="1291"/>
      <c r="M10" s="474"/>
      <c r="N10" s="1293"/>
      <c r="P10" s="2255"/>
      <c r="Q10" s="2255"/>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7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52"/>
      <c r="F11" s="2252"/>
      <c r="G11" s="2252"/>
      <c r="H11" s="2252"/>
      <c r="I11" s="2253"/>
      <c r="J11" s="1290"/>
      <c r="K11" s="1290"/>
      <c r="L11" s="1291"/>
      <c r="M11" s="474"/>
      <c r="P11" s="2255"/>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52"/>
      <c r="F12" s="2252"/>
      <c r="G12" s="2252"/>
      <c r="H12" s="2251"/>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52"/>
      <c r="F13" s="2252"/>
      <c r="G13" s="2251"/>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52"/>
      <c r="F14" s="2251"/>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51"/>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49"/>
      <c r="AI17" s="2248" t="s">
        <v>66</v>
      </c>
      <c r="AJ17" s="2249"/>
      <c r="AK17" s="2248" t="s">
        <v>66</v>
      </c>
      <c r="AS17" s="1082">
        <v>0</v>
      </c>
    </row>
    <row r="18" spans="1:45" ht="14.25" hidden="1" customHeight="1">
      <c r="AD18" s="1287"/>
      <c r="AE18" s="1287"/>
      <c r="AF18" s="1287"/>
      <c r="AG18" s="266" t="str">
        <f>AH17&amp;"-"&amp;AJ17</f>
        <v>-</v>
      </c>
      <c r="AH18" s="2248"/>
      <c r="AI18" s="2248"/>
      <c r="AJ18" s="2248"/>
      <c r="AK18" s="224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70"/>
      <c r="AS26" s="1082">
        <v>28</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42" t="s">
        <v>42</v>
      </c>
      <c r="T29" s="2242"/>
      <c r="U29" s="1299"/>
      <c r="V29" s="2244" t="str">
        <f>IF(TITLE_NAME_OR_PR_CHANGE="",IF(TITLE_NAME_OR_PR="","",TITLE_NAME_OR_PR),TITLE_NAME_OR_PR_CHANGE)</f>
        <v/>
      </c>
      <c r="W29" s="2244"/>
      <c r="X29" s="2244"/>
      <c r="Y29" s="2244"/>
      <c r="Z29" s="2244"/>
      <c r="AA29" s="2244"/>
      <c r="AB29" s="2244"/>
      <c r="AC29" s="264"/>
      <c r="AD29" s="2244" t="str">
        <f>IF(TITLE_NAME_OR_PR_CHANGE="",IF(TITLE_NAME_OR_PR="","",TITLE_NAME_OR_PR),TITLE_NAME_OR_PR_CHANGE)</f>
        <v/>
      </c>
      <c r="AE29" s="2244"/>
      <c r="AF29" s="2244"/>
      <c r="AG29" s="2244"/>
      <c r="AH29" s="2244"/>
      <c r="AI29" s="2244"/>
      <c r="AJ29" s="224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42" t="s">
        <v>426</v>
      </c>
      <c r="T30" s="2242"/>
      <c r="U30" s="1299"/>
      <c r="V30" s="2243">
        <f>IF(TITLE_DATE_PR_CHANGE="",IF(TITLE_DATE_PR="","",TITLE_DATE_PR),TITLE_DATE_PR_CHANGE)</f>
        <v>45777</v>
      </c>
      <c r="W30" s="2243"/>
      <c r="X30" s="2243"/>
      <c r="Y30" s="2243"/>
      <c r="Z30" s="2243"/>
      <c r="AA30" s="2243"/>
      <c r="AB30" s="2243"/>
      <c r="AC30" s="264"/>
      <c r="AD30" s="2243">
        <f>IF(TITLE_DATE_PR_CHANGE="",IF(TITLE_DATE_PR="","",TITLE_DATE_PR),TITLE_DATE_PR_CHANGE)</f>
        <v>45777</v>
      </c>
      <c r="AE30" s="2243"/>
      <c r="AF30" s="2243"/>
      <c r="AG30" s="2243"/>
      <c r="AH30" s="2243"/>
      <c r="AI30" s="2243"/>
      <c r="AJ30" s="224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42" t="s">
        <v>427</v>
      </c>
      <c r="T31" s="2242"/>
      <c r="U31" s="1299"/>
      <c r="V31" s="2244" t="str">
        <f>IF(TITLE_NUMBER_PR_CHANGE="",IF(TITLE_NUMBER_PR="","",TITLE_NUMBER_PR),TITLE_NUMBER_PR_CHANGE)</f>
        <v>466</v>
      </c>
      <c r="W31" s="2244"/>
      <c r="X31" s="2244"/>
      <c r="Y31" s="2244"/>
      <c r="Z31" s="2244"/>
      <c r="AA31" s="2244"/>
      <c r="AB31" s="2244"/>
      <c r="AC31" s="264"/>
      <c r="AD31" s="2244" t="str">
        <f>IF(TITLE_NUMBER_PR_CHANGE="",IF(TITLE_NUMBER_PR="","",TITLE_NUMBER_PR),TITLE_NUMBER_PR_CHANGE)</f>
        <v>466</v>
      </c>
      <c r="AE31" s="2244"/>
      <c r="AF31" s="2244"/>
      <c r="AG31" s="2244"/>
      <c r="AH31" s="2244"/>
      <c r="AI31" s="2244"/>
      <c r="AJ31" s="224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42" t="s">
        <v>43</v>
      </c>
      <c r="T32" s="2242"/>
      <c r="U32" s="1299"/>
      <c r="V32" s="2244" t="str">
        <f>IF(TITLE_IST_PUB_CHANGE="",IF(TITLE_IST_PUB="","",TITLE_IST_PUB),TITLE_IST_PUB_CHANGE)</f>
        <v/>
      </c>
      <c r="W32" s="2244"/>
      <c r="X32" s="2244"/>
      <c r="Y32" s="2244"/>
      <c r="Z32" s="2244"/>
      <c r="AA32" s="2244"/>
      <c r="AB32" s="2244"/>
      <c r="AC32" s="264"/>
      <c r="AD32" s="2244" t="str">
        <f>IF(TITLE_IST_PUB_CHANGE="",IF(TITLE_IST_PUB="","",TITLE_IST_PUB),TITLE_IST_PUB_CHANGE)</f>
        <v/>
      </c>
      <c r="AE32" s="2244"/>
      <c r="AF32" s="2244"/>
      <c r="AG32" s="2244"/>
      <c r="AH32" s="2244"/>
      <c r="AI32" s="2244"/>
      <c r="AJ32" s="224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42" t="s">
        <v>428</v>
      </c>
      <c r="T34" s="2242"/>
      <c r="U34" s="1299"/>
      <c r="V34" s="2243">
        <f>IF(TITLE_DATE_PR_CHANGE="",IF(TITLE_DATE_PR="","",TITLE_DATE_PR),TITLE_DATE_PR_CHANGE)</f>
        <v>45777</v>
      </c>
      <c r="W34" s="2243"/>
      <c r="X34" s="2243"/>
      <c r="Y34" s="2243"/>
      <c r="Z34" s="2243"/>
      <c r="AA34" s="2243"/>
      <c r="AB34" s="2243"/>
      <c r="AC34" s="264"/>
      <c r="AD34" s="2243">
        <f>IF(TITLE_DATE_PR_CHANGE="",IF(TITLE_DATE_PR="","",TITLE_DATE_PR),TITLE_DATE_PR_CHANGE)</f>
        <v>45777</v>
      </c>
      <c r="AE34" s="2243"/>
      <c r="AF34" s="2243"/>
      <c r="AG34" s="2243"/>
      <c r="AH34" s="2243"/>
      <c r="AI34" s="2243"/>
      <c r="AJ34" s="224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42" t="s">
        <v>429</v>
      </c>
      <c r="T35" s="2242"/>
      <c r="U35" s="1299"/>
      <c r="V35" s="2244" t="str">
        <f>IF(TITLE_NUMBER_PR_CHANGE="",IF(TITLE_NUMBER_PR="","",TITLE_NUMBER_PR),TITLE_NUMBER_PR_CHANGE)</f>
        <v>466</v>
      </c>
      <c r="W35" s="2244"/>
      <c r="X35" s="2244"/>
      <c r="Y35" s="2244"/>
      <c r="Z35" s="2244"/>
      <c r="AA35" s="2244"/>
      <c r="AB35" s="2244"/>
      <c r="AC35" s="264"/>
      <c r="AD35" s="2244" t="str">
        <f>IF(TITLE_NUMBER_PR_CHANGE="",IF(TITLE_NUMBER_PR="","",TITLE_NUMBER_PR),TITLE_NUMBER_PR_CHANGE)</f>
        <v>466</v>
      </c>
      <c r="AE35" s="2244"/>
      <c r="AF35" s="2244"/>
      <c r="AG35" s="2244"/>
      <c r="AH35" s="2244"/>
      <c r="AI35" s="2244"/>
      <c r="AJ35" s="224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63"/>
      <c r="W37" s="2263"/>
      <c r="X37" s="2263"/>
      <c r="Y37" s="2263"/>
      <c r="Z37" s="2263"/>
      <c r="AA37" s="2263"/>
      <c r="AB37" s="2263"/>
      <c r="AC37" s="2263"/>
      <c r="AD37" s="2263"/>
      <c r="AE37" s="2263"/>
      <c r="AF37" s="2263"/>
      <c r="AG37" s="2263"/>
      <c r="AH37" s="2263"/>
      <c r="AI37" s="2263"/>
      <c r="AJ37" s="2263"/>
      <c r="AK37" s="2263"/>
      <c r="AS37" s="1082">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082">
        <v>14</v>
      </c>
    </row>
    <row r="39" spans="1:45" ht="14.65" customHeight="1">
      <c r="Q39" s="313"/>
      <c r="R39" s="313"/>
      <c r="S39" s="2264" t="s">
        <v>88</v>
      </c>
      <c r="T39" s="2212" t="s">
        <v>431</v>
      </c>
      <c r="U39" s="239"/>
      <c r="V39" s="2265" t="s">
        <v>432</v>
      </c>
      <c r="W39" s="2266"/>
      <c r="X39" s="2290"/>
      <c r="Y39" s="2290"/>
      <c r="Z39" s="2266"/>
      <c r="AA39" s="2266"/>
      <c r="AB39" s="2267"/>
      <c r="AC39" s="2268" t="s">
        <v>433</v>
      </c>
      <c r="AD39" s="2265" t="s">
        <v>432</v>
      </c>
      <c r="AE39" s="2266"/>
      <c r="AF39" s="2290"/>
      <c r="AG39" s="2290"/>
      <c r="AH39" s="2266"/>
      <c r="AI39" s="2266"/>
      <c r="AJ39" s="2267"/>
      <c r="AK39" s="2268" t="s">
        <v>434</v>
      </c>
      <c r="AL39" s="2271" t="s">
        <v>435</v>
      </c>
      <c r="AM39" s="2116"/>
      <c r="AS39" s="1082">
        <v>14</v>
      </c>
    </row>
    <row r="40" spans="1:45" ht="24" customHeight="1">
      <c r="Q40" s="313"/>
      <c r="R40" s="313"/>
      <c r="S40" s="2264"/>
      <c r="T40" s="2212"/>
      <c r="U40" s="961"/>
      <c r="V40" s="2288" t="s">
        <v>436</v>
      </c>
      <c r="W40" s="2185" t="s">
        <v>437</v>
      </c>
      <c r="X40" s="1303" t="s">
        <v>438</v>
      </c>
      <c r="Y40" s="1303"/>
      <c r="Z40" s="2103" t="s">
        <v>439</v>
      </c>
      <c r="AA40" s="2103"/>
      <c r="AB40" s="2097"/>
      <c r="AC40" s="2269"/>
      <c r="AD40" s="2288" t="s">
        <v>436</v>
      </c>
      <c r="AE40" s="2185" t="s">
        <v>437</v>
      </c>
      <c r="AF40" s="1303" t="s">
        <v>438</v>
      </c>
      <c r="AG40" s="1303"/>
      <c r="AH40" s="2103" t="s">
        <v>439</v>
      </c>
      <c r="AI40" s="2103"/>
      <c r="AJ40" s="2097"/>
      <c r="AK40" s="2269"/>
      <c r="AL40" s="2272"/>
      <c r="AM40" s="2116"/>
      <c r="AS40" s="1082">
        <v>23</v>
      </c>
    </row>
    <row r="41" spans="1:45" s="1193" customFormat="1" ht="24"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64"/>
      <c r="T41" s="2212"/>
      <c r="U41" s="240"/>
      <c r="V41" s="2289"/>
      <c r="W41" s="2190"/>
      <c r="X41" s="1300" t="s">
        <v>447</v>
      </c>
      <c r="Y41" s="1300" t="s">
        <v>448</v>
      </c>
      <c r="Z41" s="1261" t="s">
        <v>449</v>
      </c>
      <c r="AA41" s="2217" t="s">
        <v>450</v>
      </c>
      <c r="AB41" s="2231"/>
      <c r="AC41" s="2270"/>
      <c r="AD41" s="2289"/>
      <c r="AE41" s="2190"/>
      <c r="AF41" s="1300" t="s">
        <v>447</v>
      </c>
      <c r="AG41" s="1300" t="s">
        <v>448</v>
      </c>
      <c r="AH41" s="1261" t="s">
        <v>449</v>
      </c>
      <c r="AI41" s="2217" t="s">
        <v>450</v>
      </c>
      <c r="AJ41" s="2231"/>
      <c r="AK41" s="2270"/>
      <c r="AL41" s="2273"/>
      <c r="AM41" s="2116"/>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62">
        <f ca="1">OFFSET(AA42,0,-1)+1</f>
        <v>4</v>
      </c>
      <c r="AB42" s="2262"/>
      <c r="AC42" s="1262">
        <f ca="1">OFFSET(AC42,0,-2)+1</f>
        <v>5</v>
      </c>
      <c r="AD42" s="1262">
        <f ca="1">OFFSET(AD42,0,-1)+1</f>
        <v>6</v>
      </c>
      <c r="AE42" s="1262"/>
      <c r="AF42" s="1268">
        <f ca="1">OFFSET(AF42,0,-1)+1</f>
        <v>1</v>
      </c>
      <c r="AG42" s="1268">
        <f ca="1">OFFSET(AG42,0,-1)+1</f>
        <v>2</v>
      </c>
      <c r="AH42" s="1262">
        <f ca="1">OFFSET(AH42,0,-1)+1</f>
        <v>3</v>
      </c>
      <c r="AI42" s="2262">
        <f ca="1">OFFSET(AI42,0,-1)+1</f>
        <v>4</v>
      </c>
      <c r="AJ42" s="2262"/>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5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52"/>
      <c r="F44" s="225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52"/>
      <c r="F45" s="2252"/>
      <c r="G45" s="225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52"/>
      <c r="F46" s="2252"/>
      <c r="G46" s="2252"/>
      <c r="H46" s="2251">
        <v>1</v>
      </c>
      <c r="I46" s="1290"/>
      <c r="J46" s="1290"/>
      <c r="K46" s="1290"/>
      <c r="L46" s="1291"/>
      <c r="M46" s="1292"/>
      <c r="N46" s="1292"/>
      <c r="O46" s="1292"/>
      <c r="P46" s="291"/>
      <c r="Q46" s="289"/>
      <c r="R46" s="290"/>
      <c r="S46" s="1263"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52"/>
      <c r="F47" s="2252"/>
      <c r="G47" s="2252"/>
      <c r="H47" s="2252"/>
      <c r="I47" s="2253" t="str">
        <f>S46&amp;".1"</f>
        <v>....1</v>
      </c>
      <c r="J47" s="1290"/>
      <c r="K47" s="1290"/>
      <c r="L47" s="1291" t="s">
        <v>409</v>
      </c>
      <c r="P47" s="2255">
        <v>1</v>
      </c>
      <c r="Q47" s="1258"/>
      <c r="R47" s="293"/>
      <c r="S47" s="1263" t="str">
        <f>$I47</f>
        <v>....1</v>
      </c>
      <c r="T47" s="223" t="s">
        <v>410</v>
      </c>
      <c r="U47" s="238"/>
      <c r="V47" s="2239"/>
      <c r="W47" s="2240"/>
      <c r="X47" s="2240"/>
      <c r="Y47" s="2240"/>
      <c r="Z47" s="2240"/>
      <c r="AA47" s="2240"/>
      <c r="AB47" s="2240"/>
      <c r="AC47" s="2241"/>
      <c r="AD47" s="2239"/>
      <c r="AE47" s="2240"/>
      <c r="AF47" s="2240"/>
      <c r="AG47" s="2240"/>
      <c r="AH47" s="2240"/>
      <c r="AI47" s="2240"/>
      <c r="AJ47" s="2240"/>
      <c r="AK47" s="2240"/>
      <c r="AL47" s="2241"/>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52"/>
      <c r="F48" s="2252"/>
      <c r="G48" s="2252"/>
      <c r="H48" s="2252"/>
      <c r="I48" s="2254"/>
      <c r="J48" s="2253" t="str">
        <f>I47&amp;".1"</f>
        <v>....1.1</v>
      </c>
      <c r="K48" s="1290"/>
      <c r="L48" s="1291" t="s">
        <v>412</v>
      </c>
      <c r="P48" s="2255"/>
      <c r="Q48" s="2255">
        <v>1</v>
      </c>
      <c r="R48" s="294"/>
      <c r="S48" s="1263" t="str">
        <f>$J48</f>
        <v>....1.1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52"/>
      <c r="F49" s="2252"/>
      <c r="G49" s="2252"/>
      <c r="H49" s="2252"/>
      <c r="I49" s="2254"/>
      <c r="J49" s="2254"/>
      <c r="K49" s="2253" t="str">
        <f>J48&amp;".1"</f>
        <v>....1.1.1</v>
      </c>
      <c r="L49" s="1291" t="s">
        <v>415</v>
      </c>
      <c r="P49" s="2255"/>
      <c r="Q49" s="2255"/>
      <c r="R49" s="294">
        <v>1</v>
      </c>
      <c r="S49" s="1263" t="str">
        <f>$K49</f>
        <v>....1.1.1</v>
      </c>
      <c r="T49" s="1274"/>
      <c r="U49" s="238"/>
      <c r="V49" s="263"/>
      <c r="W49" s="688"/>
      <c r="X49" s="263"/>
      <c r="Y49" s="321"/>
      <c r="Z49" s="2256"/>
      <c r="AA49" s="2126" t="s">
        <v>66</v>
      </c>
      <c r="AB49" s="2256"/>
      <c r="AC49" s="2126" t="s">
        <v>66</v>
      </c>
      <c r="AD49" s="263"/>
      <c r="AE49" s="688"/>
      <c r="AF49" s="263"/>
      <c r="AG49" s="321"/>
      <c r="AH49" s="2256"/>
      <c r="AI49" s="2126" t="s">
        <v>66</v>
      </c>
      <c r="AJ49" s="2258"/>
      <c r="AK49" s="2126" t="s">
        <v>66</v>
      </c>
      <c r="AL49" s="1275"/>
      <c r="AM49" s="2274" t="s">
        <v>416</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52"/>
      <c r="F50" s="2252"/>
      <c r="G50" s="2252"/>
      <c r="H50" s="2252"/>
      <c r="I50" s="2254"/>
      <c r="J50" s="2254"/>
      <c r="K50" s="2253"/>
      <c r="L50" s="1291"/>
      <c r="P50" s="2255"/>
      <c r="Q50" s="2255"/>
      <c r="R50" s="294"/>
      <c r="S50" s="1269"/>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437"/>
      <c r="AP50" s="437" t="str">
        <f t="shared" si="1"/>
        <v/>
      </c>
      <c r="AQ50" s="437"/>
      <c r="AR50" s="437"/>
      <c r="AS50" s="1082">
        <v>1</v>
      </c>
    </row>
    <row r="51" spans="1:45" ht="11.45" customHeight="1">
      <c r="A51" s="1290" t="s">
        <v>199</v>
      </c>
      <c r="B51" s="1290" t="s">
        <v>200</v>
      </c>
      <c r="C51" s="1290" t="s">
        <v>201</v>
      </c>
      <c r="D51" s="1290" t="s">
        <v>202</v>
      </c>
      <c r="E51" s="2252"/>
      <c r="F51" s="2252"/>
      <c r="G51" s="2252"/>
      <c r="H51" s="2252"/>
      <c r="I51" s="2254"/>
      <c r="J51" s="2253"/>
      <c r="K51" s="1290"/>
      <c r="L51" s="1291"/>
      <c r="P51" s="2255"/>
      <c r="Q51" s="2255"/>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76"/>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52"/>
      <c r="F52" s="2252"/>
      <c r="G52" s="2252"/>
      <c r="H52" s="2252"/>
      <c r="I52" s="2253"/>
      <c r="J52" s="1290"/>
      <c r="K52" s="1290"/>
      <c r="L52" s="1291"/>
      <c r="P52" s="2255"/>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52"/>
      <c r="F53" s="2252"/>
      <c r="G53" s="2252"/>
      <c r="H53" s="2251"/>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52"/>
      <c r="F54" s="2252"/>
      <c r="G54" s="2251"/>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52"/>
      <c r="F55" s="2251"/>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51"/>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27</v>
      </c>
    </row>
    <row r="60" spans="1:45" ht="78.7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75</v>
      </c>
    </row>
    <row r="61" spans="1:45" ht="14.65" customHeight="1">
      <c r="O61" s="474"/>
      <c r="AS61" s="1082">
        <v>14</v>
      </c>
    </row>
    <row r="62" spans="1:45" ht="18.75" customHeight="1">
      <c r="O62" s="474"/>
      <c r="S62" s="1180"/>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82">
        <v>18</v>
      </c>
    </row>
    <row r="63" spans="1:45" ht="18.75" customHeight="1">
      <c r="O63" s="474"/>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82">
        <v>18</v>
      </c>
    </row>
    <row r="64" spans="1:45" ht="39.75" customHeight="1">
      <c r="O64" s="474"/>
      <c r="S64" s="1180"/>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51">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437"/>
      <c r="AP2" s="437" t="str">
        <f t="shared" ref="AP2:AP15" si="0">IF(T2="","",T2)</f>
        <v>Наименование тарифа</v>
      </c>
      <c r="AQ2" s="437"/>
      <c r="AR2" s="437"/>
      <c r="AS2" s="1082">
        <v>0</v>
      </c>
    </row>
    <row r="3" spans="1:45" ht="21" hidden="1" customHeight="1">
      <c r="A3" s="1290"/>
      <c r="B3" s="1290"/>
      <c r="C3" s="1290"/>
      <c r="D3" s="1290"/>
      <c r="E3" s="2252"/>
      <c r="F3" s="225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437"/>
      <c r="AP3" s="437" t="str">
        <f t="shared" si="0"/>
        <v>Территория действия тарифа</v>
      </c>
      <c r="AQ3" s="437"/>
      <c r="AR3" s="437"/>
      <c r="AS3" s="1082">
        <v>0</v>
      </c>
    </row>
    <row r="4" spans="1:45" ht="23.25" hidden="1" customHeight="1">
      <c r="A4" s="1290"/>
      <c r="B4" s="1290"/>
      <c r="C4" s="1290"/>
      <c r="D4" s="1290"/>
      <c r="E4" s="2252"/>
      <c r="F4" s="2252"/>
      <c r="G4" s="2251">
        <v>1</v>
      </c>
      <c r="H4" s="1290"/>
      <c r="I4" s="1290"/>
      <c r="J4" s="1290"/>
      <c r="K4" s="1290"/>
      <c r="L4" s="1291"/>
      <c r="M4" s="1292"/>
      <c r="N4" s="1292"/>
      <c r="O4" s="1292"/>
      <c r="P4" s="291"/>
      <c r="Q4" s="289"/>
      <c r="R4" s="290"/>
      <c r="S4" s="1263"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52"/>
      <c r="F5" s="2252"/>
      <c r="G5" s="2252"/>
      <c r="H5" s="2251">
        <v>1</v>
      </c>
      <c r="I5" s="1290"/>
      <c r="J5" s="1290"/>
      <c r="K5" s="1290"/>
      <c r="L5" s="1291"/>
      <c r="M5" s="1292"/>
      <c r="N5" s="1292"/>
      <c r="O5" s="1292"/>
      <c r="P5" s="291"/>
      <c r="Q5" s="289"/>
      <c r="R5" s="290"/>
      <c r="S5" s="1263"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52"/>
      <c r="F6" s="2252"/>
      <c r="G6" s="2252"/>
      <c r="H6" s="2252"/>
      <c r="I6" s="2253" t="e">
        <f>S5&amp;".1"</f>
        <v>#N/A</v>
      </c>
      <c r="J6" s="1290"/>
      <c r="K6" s="1290"/>
      <c r="L6" s="1291" t="s">
        <v>409</v>
      </c>
      <c r="M6" s="474"/>
      <c r="P6" s="2255">
        <v>1</v>
      </c>
      <c r="Q6" s="1258"/>
      <c r="R6" s="293"/>
      <c r="S6" s="972"/>
      <c r="T6" s="1310"/>
      <c r="U6" s="1311"/>
      <c r="V6" s="2291"/>
      <c r="W6" s="2292"/>
      <c r="X6" s="2292"/>
      <c r="Y6" s="2292"/>
      <c r="Z6" s="2292"/>
      <c r="AA6" s="2292"/>
      <c r="AB6" s="2292"/>
      <c r="AC6" s="2293"/>
      <c r="AD6" s="2291"/>
      <c r="AE6" s="2292"/>
      <c r="AF6" s="2292"/>
      <c r="AG6" s="2292"/>
      <c r="AH6" s="2292"/>
      <c r="AI6" s="2292"/>
      <c r="AJ6" s="2292"/>
      <c r="AK6" s="2292"/>
      <c r="AL6" s="2293"/>
      <c r="AM6" s="1312"/>
      <c r="AO6" s="437"/>
      <c r="AP6" s="437" t="str">
        <f t="shared" si="0"/>
        <v/>
      </c>
      <c r="AQ6" s="437"/>
      <c r="AR6" s="437"/>
      <c r="AS6" s="1082">
        <v>0</v>
      </c>
    </row>
    <row r="7" spans="1:45" ht="21" hidden="1" customHeight="1">
      <c r="A7" s="1290"/>
      <c r="B7" s="1290"/>
      <c r="C7" s="1290"/>
      <c r="D7" s="1290"/>
      <c r="E7" s="2252"/>
      <c r="F7" s="2252"/>
      <c r="G7" s="2252"/>
      <c r="H7" s="2252"/>
      <c r="I7" s="2254"/>
      <c r="J7" s="2253" t="e">
        <f>I6&amp;".1"</f>
        <v>#N/A</v>
      </c>
      <c r="K7" s="1290"/>
      <c r="L7" s="1291" t="s">
        <v>412</v>
      </c>
      <c r="M7" s="474"/>
      <c r="N7" s="1293"/>
      <c r="P7" s="2255"/>
      <c r="Q7" s="2255">
        <v>1</v>
      </c>
      <c r="R7" s="294"/>
      <c r="S7" s="1263" t="e">
        <f>$J7</f>
        <v>#N/A</v>
      </c>
      <c r="T7" s="224" t="s">
        <v>413</v>
      </c>
      <c r="U7" s="238"/>
      <c r="V7" s="2239"/>
      <c r="W7" s="2240"/>
      <c r="X7" s="2240"/>
      <c r="Y7" s="2240"/>
      <c r="Z7" s="2240"/>
      <c r="AA7" s="2240"/>
      <c r="AB7" s="2240"/>
      <c r="AC7" s="2241"/>
      <c r="AD7" s="2239"/>
      <c r="AE7" s="2240"/>
      <c r="AF7" s="2240"/>
      <c r="AG7" s="2240"/>
      <c r="AH7" s="2240"/>
      <c r="AI7" s="2240"/>
      <c r="AJ7" s="2240"/>
      <c r="AK7" s="2240"/>
      <c r="AL7" s="2241"/>
      <c r="AM7" s="1185" t="s">
        <v>414</v>
      </c>
      <c r="AO7" s="437"/>
      <c r="AP7" s="437" t="str">
        <f t="shared" si="0"/>
        <v>Группа потребителей</v>
      </c>
      <c r="AQ7" s="437"/>
      <c r="AR7" s="437"/>
      <c r="AS7" s="1082">
        <v>0</v>
      </c>
    </row>
    <row r="8" spans="1:45" ht="21" hidden="1" customHeight="1">
      <c r="A8" s="1290"/>
      <c r="B8" s="1290"/>
      <c r="C8" s="1290"/>
      <c r="D8" s="1290"/>
      <c r="E8" s="2252"/>
      <c r="F8" s="2252"/>
      <c r="G8" s="2252"/>
      <c r="H8" s="2252"/>
      <c r="I8" s="2254"/>
      <c r="J8" s="2254"/>
      <c r="K8" s="2253" t="e">
        <f>J7&amp;".1"</f>
        <v>#N/A</v>
      </c>
      <c r="L8" s="1291" t="s">
        <v>415</v>
      </c>
      <c r="M8" s="474"/>
      <c r="N8" s="1293"/>
      <c r="O8" s="1293"/>
      <c r="P8" s="2255"/>
      <c r="Q8" s="2255"/>
      <c r="R8" s="294">
        <v>1</v>
      </c>
      <c r="S8" s="1263" t="e">
        <f>$K8</f>
        <v>#N/A</v>
      </c>
      <c r="T8" s="1274"/>
      <c r="U8" s="238"/>
      <c r="V8" s="688"/>
      <c r="W8" s="263"/>
      <c r="X8" s="688"/>
      <c r="Y8" s="1184"/>
      <c r="Z8" s="2256"/>
      <c r="AA8" s="2126" t="s">
        <v>66</v>
      </c>
      <c r="AB8" s="2256"/>
      <c r="AC8" s="2126" t="s">
        <v>66</v>
      </c>
      <c r="AD8" s="688"/>
      <c r="AE8" s="263"/>
      <c r="AF8" s="688"/>
      <c r="AG8" s="1184"/>
      <c r="AH8" s="2256"/>
      <c r="AI8" s="2126" t="s">
        <v>66</v>
      </c>
      <c r="AJ8" s="2256"/>
      <c r="AK8" s="2126" t="s">
        <v>66</v>
      </c>
      <c r="AL8" s="263"/>
      <c r="AM8" s="2274" t="s">
        <v>416</v>
      </c>
      <c r="AN8" s="448" t="e">
        <f ca="1">STRCHECKDATE(V9:AL9)</f>
        <v>#NAME?</v>
      </c>
      <c r="AO8" s="437"/>
      <c r="AP8" s="437" t="str">
        <f t="shared" si="0"/>
        <v/>
      </c>
      <c r="AQ8" s="437"/>
      <c r="AR8" s="437"/>
      <c r="AS8" s="1082">
        <v>0</v>
      </c>
    </row>
    <row r="9" spans="1:45" ht="0.75" hidden="1" customHeight="1">
      <c r="A9" s="1290"/>
      <c r="B9" s="1290"/>
      <c r="C9" s="1290"/>
      <c r="D9" s="1290"/>
      <c r="E9" s="2252"/>
      <c r="F9" s="2252"/>
      <c r="G9" s="2252"/>
      <c r="H9" s="2252"/>
      <c r="I9" s="2254"/>
      <c r="J9" s="2254"/>
      <c r="K9" s="2253"/>
      <c r="L9" s="1291"/>
      <c r="M9" s="474"/>
      <c r="N9" s="1293"/>
      <c r="O9" s="1293"/>
      <c r="P9" s="2255"/>
      <c r="Q9" s="2255"/>
      <c r="R9" s="294"/>
      <c r="S9" s="126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437"/>
      <c r="AP9" s="437" t="str">
        <f t="shared" si="0"/>
        <v/>
      </c>
      <c r="AQ9" s="437"/>
      <c r="AR9" s="437"/>
      <c r="AS9" s="1082">
        <v>0</v>
      </c>
    </row>
    <row r="10" spans="1:45" ht="15" hidden="1" customHeight="1">
      <c r="A10" s="1290"/>
      <c r="B10" s="1290"/>
      <c r="C10" s="1290"/>
      <c r="D10" s="1290"/>
      <c r="E10" s="2252"/>
      <c r="F10" s="2252"/>
      <c r="G10" s="2252"/>
      <c r="H10" s="2252"/>
      <c r="I10" s="2254"/>
      <c r="J10" s="2253"/>
      <c r="K10" s="1290"/>
      <c r="L10" s="1291"/>
      <c r="M10" s="474"/>
      <c r="N10" s="1293"/>
      <c r="P10" s="2255"/>
      <c r="Q10" s="225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7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52"/>
      <c r="F11" s="2252"/>
      <c r="G11" s="2252"/>
      <c r="H11" s="2252"/>
      <c r="I11" s="2253"/>
      <c r="J11" s="1290"/>
      <c r="K11" s="1290"/>
      <c r="L11" s="1291"/>
      <c r="M11" s="474"/>
      <c r="P11" s="225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52"/>
      <c r="F12" s="2252"/>
      <c r="G12" s="2252"/>
      <c r="H12" s="225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52"/>
      <c r="F13" s="2252"/>
      <c r="G13" s="2251"/>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52"/>
      <c r="F14" s="2251"/>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51"/>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49"/>
      <c r="AI17" s="2248" t="s">
        <v>66</v>
      </c>
      <c r="AJ17" s="2249"/>
      <c r="AK17" s="2248" t="s">
        <v>66</v>
      </c>
      <c r="AS17" s="1082">
        <v>0</v>
      </c>
    </row>
    <row r="18" spans="1:45" ht="14.25" hidden="1" customHeight="1">
      <c r="AD18" s="1287"/>
      <c r="AE18" s="1287"/>
      <c r="AF18" s="1287"/>
      <c r="AG18" s="266" t="str">
        <f>AH17&amp;"-"&amp;AJ17</f>
        <v>-</v>
      </c>
      <c r="AH18" s="2248"/>
      <c r="AI18" s="2248"/>
      <c r="AJ18" s="2248"/>
      <c r="AK18" s="224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70"/>
      <c r="AS26" s="1082">
        <v>60</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42" t="s">
        <v>42</v>
      </c>
      <c r="T29" s="2242"/>
      <c r="U29" s="1299"/>
      <c r="V29" s="2244" t="str">
        <f>IF(TITLE_NAME_OR_PR_CHANGE="",IF(TITLE_NAME_OR_PR="","",TITLE_NAME_OR_PR),TITLE_NAME_OR_PR_CHANGE)</f>
        <v/>
      </c>
      <c r="W29" s="2244"/>
      <c r="X29" s="2244"/>
      <c r="Y29" s="2244"/>
      <c r="Z29" s="2244"/>
      <c r="AA29" s="2244"/>
      <c r="AB29" s="2244"/>
      <c r="AC29" s="264"/>
      <c r="AD29" s="2244" t="str">
        <f>IF(TITLE_NAME_OR_PR_CHANGE="",IF(TITLE_NAME_OR_PR="","",TITLE_NAME_OR_PR),TITLE_NAME_OR_PR_CHANGE)</f>
        <v/>
      </c>
      <c r="AE29" s="2244"/>
      <c r="AF29" s="2244"/>
      <c r="AG29" s="2244"/>
      <c r="AH29" s="2244"/>
      <c r="AI29" s="2244"/>
      <c r="AJ29" s="224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42" t="s">
        <v>426</v>
      </c>
      <c r="T30" s="2242"/>
      <c r="U30" s="1299"/>
      <c r="V30" s="2243">
        <f>IF(TITLE_DATE_PR_CHANGE="",IF(TITLE_DATE_PR="","",TITLE_DATE_PR),TITLE_DATE_PR_CHANGE)</f>
        <v>45777</v>
      </c>
      <c r="W30" s="2243"/>
      <c r="X30" s="2243"/>
      <c r="Y30" s="2243"/>
      <c r="Z30" s="2243"/>
      <c r="AA30" s="2243"/>
      <c r="AB30" s="2243"/>
      <c r="AC30" s="264"/>
      <c r="AD30" s="2243">
        <f>IF(TITLE_DATE_PR_CHANGE="",IF(TITLE_DATE_PR="","",TITLE_DATE_PR),TITLE_DATE_PR_CHANGE)</f>
        <v>45777</v>
      </c>
      <c r="AE30" s="2243"/>
      <c r="AF30" s="2243"/>
      <c r="AG30" s="2243"/>
      <c r="AH30" s="2243"/>
      <c r="AI30" s="2243"/>
      <c r="AJ30" s="224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42" t="s">
        <v>427</v>
      </c>
      <c r="T31" s="2242"/>
      <c r="U31" s="1299"/>
      <c r="V31" s="2244" t="str">
        <f>IF(TITLE_NUMBER_PR_CHANGE="",IF(TITLE_NUMBER_PR="","",TITLE_NUMBER_PR),TITLE_NUMBER_PR_CHANGE)</f>
        <v>466</v>
      </c>
      <c r="W31" s="2244"/>
      <c r="X31" s="2244"/>
      <c r="Y31" s="2244"/>
      <c r="Z31" s="2244"/>
      <c r="AA31" s="2244"/>
      <c r="AB31" s="2244"/>
      <c r="AC31" s="264"/>
      <c r="AD31" s="2244" t="str">
        <f>IF(TITLE_NUMBER_PR_CHANGE="",IF(TITLE_NUMBER_PR="","",TITLE_NUMBER_PR),TITLE_NUMBER_PR_CHANGE)</f>
        <v>466</v>
      </c>
      <c r="AE31" s="2244"/>
      <c r="AF31" s="2244"/>
      <c r="AG31" s="2244"/>
      <c r="AH31" s="2244"/>
      <c r="AI31" s="2244"/>
      <c r="AJ31" s="224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42" t="s">
        <v>43</v>
      </c>
      <c r="T32" s="2242"/>
      <c r="U32" s="1299"/>
      <c r="V32" s="2244" t="str">
        <f>IF(TITLE_IST_PUB_CHANGE="",IF(TITLE_IST_PUB="","",TITLE_IST_PUB),TITLE_IST_PUB_CHANGE)</f>
        <v/>
      </c>
      <c r="W32" s="2244"/>
      <c r="X32" s="2244"/>
      <c r="Y32" s="2244"/>
      <c r="Z32" s="2244"/>
      <c r="AA32" s="2244"/>
      <c r="AB32" s="2244"/>
      <c r="AC32" s="264"/>
      <c r="AD32" s="2244" t="str">
        <f>IF(TITLE_IST_PUB_CHANGE="",IF(TITLE_IST_PUB="","",TITLE_IST_PUB),TITLE_IST_PUB_CHANGE)</f>
        <v/>
      </c>
      <c r="AE32" s="2244"/>
      <c r="AF32" s="2244"/>
      <c r="AG32" s="2244"/>
      <c r="AH32" s="2244"/>
      <c r="AI32" s="2244"/>
      <c r="AJ32" s="224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42" t="s">
        <v>428</v>
      </c>
      <c r="T34" s="2242"/>
      <c r="U34" s="1299"/>
      <c r="V34" s="2243">
        <f>IF(TITLE_DATE_PR_CHANGE="",IF(TITLE_DATE_PR="","",TITLE_DATE_PR),TITLE_DATE_PR_CHANGE)</f>
        <v>45777</v>
      </c>
      <c r="W34" s="2243"/>
      <c r="X34" s="2243"/>
      <c r="Y34" s="2243"/>
      <c r="Z34" s="2243"/>
      <c r="AA34" s="2243"/>
      <c r="AB34" s="2243"/>
      <c r="AC34" s="264"/>
      <c r="AD34" s="2243">
        <f>IF(TITLE_DATE_PR_CHANGE="",IF(TITLE_DATE_PR="","",TITLE_DATE_PR),TITLE_DATE_PR_CHANGE)</f>
        <v>45777</v>
      </c>
      <c r="AE34" s="2243"/>
      <c r="AF34" s="2243"/>
      <c r="AG34" s="2243"/>
      <c r="AH34" s="2243"/>
      <c r="AI34" s="2243"/>
      <c r="AJ34" s="224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42" t="s">
        <v>429</v>
      </c>
      <c r="T35" s="2242"/>
      <c r="U35" s="1299"/>
      <c r="V35" s="2244" t="str">
        <f>IF(TITLE_NUMBER_PR_CHANGE="",IF(TITLE_NUMBER_PR="","",TITLE_NUMBER_PR),TITLE_NUMBER_PR_CHANGE)</f>
        <v>466</v>
      </c>
      <c r="W35" s="2244"/>
      <c r="X35" s="2244"/>
      <c r="Y35" s="2244"/>
      <c r="Z35" s="2244"/>
      <c r="AA35" s="2244"/>
      <c r="AB35" s="2244"/>
      <c r="AC35" s="264"/>
      <c r="AD35" s="2244" t="str">
        <f>IF(TITLE_NUMBER_PR_CHANGE="",IF(TITLE_NUMBER_PR="","",TITLE_NUMBER_PR),TITLE_NUMBER_PR_CHANGE)</f>
        <v>466</v>
      </c>
      <c r="AE35" s="2244"/>
      <c r="AF35" s="2244"/>
      <c r="AG35" s="2244"/>
      <c r="AH35" s="2244"/>
      <c r="AI35" s="2244"/>
      <c r="AJ35" s="224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63"/>
      <c r="W37" s="2263"/>
      <c r="X37" s="2263"/>
      <c r="Y37" s="2263"/>
      <c r="Z37" s="2263"/>
      <c r="AA37" s="2263"/>
      <c r="AB37" s="2263"/>
      <c r="AC37" s="2263"/>
      <c r="AD37" s="2263"/>
      <c r="AE37" s="2263"/>
      <c r="AF37" s="2263"/>
      <c r="AG37" s="2263"/>
      <c r="AH37" s="2263"/>
      <c r="AI37" s="2263"/>
      <c r="AJ37" s="2263"/>
      <c r="AK37" s="2263"/>
      <c r="AS37" s="1082">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082">
        <v>14</v>
      </c>
    </row>
    <row r="39" spans="1:45" ht="14.65" customHeight="1">
      <c r="Q39" s="313"/>
      <c r="R39" s="313"/>
      <c r="S39" s="2264" t="s">
        <v>88</v>
      </c>
      <c r="T39" s="2212" t="s">
        <v>431</v>
      </c>
      <c r="U39" s="239"/>
      <c r="V39" s="2265" t="s">
        <v>432</v>
      </c>
      <c r="W39" s="2266"/>
      <c r="X39" s="2266"/>
      <c r="Y39" s="2266"/>
      <c r="Z39" s="2266"/>
      <c r="AA39" s="2266"/>
      <c r="AB39" s="2267"/>
      <c r="AC39" s="2268" t="s">
        <v>433</v>
      </c>
      <c r="AD39" s="2265" t="s">
        <v>432</v>
      </c>
      <c r="AE39" s="2266"/>
      <c r="AF39" s="2266"/>
      <c r="AG39" s="2266"/>
      <c r="AH39" s="2266"/>
      <c r="AI39" s="2266"/>
      <c r="AJ39" s="2267"/>
      <c r="AK39" s="2268" t="s">
        <v>434</v>
      </c>
      <c r="AL39" s="2271" t="s">
        <v>435</v>
      </c>
      <c r="AM39" s="2116"/>
      <c r="AS39" s="1082">
        <v>14</v>
      </c>
    </row>
    <row r="40" spans="1:45" ht="35.65" customHeight="1">
      <c r="Q40" s="313"/>
      <c r="R40" s="313"/>
      <c r="S40" s="2264"/>
      <c r="T40" s="2212"/>
      <c r="U40" s="961"/>
      <c r="V40" s="2184" t="s">
        <v>436</v>
      </c>
      <c r="W40" s="2260"/>
      <c r="X40" s="2098" t="s">
        <v>438</v>
      </c>
      <c r="Y40" s="2097"/>
      <c r="Z40" s="2098" t="s">
        <v>439</v>
      </c>
      <c r="AA40" s="2103"/>
      <c r="AB40" s="2097"/>
      <c r="AC40" s="2269"/>
      <c r="AD40" s="2184" t="s">
        <v>455</v>
      </c>
      <c r="AE40" s="2260"/>
      <c r="AF40" s="2098" t="s">
        <v>438</v>
      </c>
      <c r="AG40" s="2097"/>
      <c r="AH40" s="2098" t="s">
        <v>439</v>
      </c>
      <c r="AI40" s="2103"/>
      <c r="AJ40" s="2097"/>
      <c r="AK40" s="2269"/>
      <c r="AL40" s="2272"/>
      <c r="AM40" s="2116"/>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421</v>
      </c>
      <c r="Q41" s="313"/>
      <c r="R41" s="313"/>
      <c r="S41" s="2264"/>
      <c r="T41" s="2212"/>
      <c r="U41" s="240"/>
      <c r="V41" s="2237"/>
      <c r="W41" s="2261"/>
      <c r="X41" s="1149" t="s">
        <v>447</v>
      </c>
      <c r="Y41" s="1149" t="s">
        <v>448</v>
      </c>
      <c r="Z41" s="1265" t="s">
        <v>449</v>
      </c>
      <c r="AA41" s="2217" t="s">
        <v>450</v>
      </c>
      <c r="AB41" s="2231"/>
      <c r="AC41" s="2270"/>
      <c r="AD41" s="2237"/>
      <c r="AE41" s="2261"/>
      <c r="AF41" s="1149" t="s">
        <v>447</v>
      </c>
      <c r="AG41" s="1149" t="s">
        <v>448</v>
      </c>
      <c r="AH41" s="1265" t="s">
        <v>449</v>
      </c>
      <c r="AI41" s="2217" t="s">
        <v>450</v>
      </c>
      <c r="AJ41" s="2231"/>
      <c r="AK41" s="2270"/>
      <c r="AL41" s="2273"/>
      <c r="AM41" s="211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62">
        <f ca="1">OFFSET(AA42,0,-1)+1</f>
        <v>4</v>
      </c>
      <c r="AB42" s="2262"/>
      <c r="AC42" s="1262">
        <f ca="1">OFFSET(AC42,0,-2)+1</f>
        <v>5</v>
      </c>
      <c r="AD42" s="1262">
        <f ca="1">OFFSET(AD42,0,-1)+1</f>
        <v>6</v>
      </c>
      <c r="AE42" s="1262"/>
      <c r="AF42" s="1262">
        <f ca="1">OFFSET(AF42,0,-1)+1</f>
        <v>1</v>
      </c>
      <c r="AG42" s="1262">
        <f ca="1">OFFSET(AG42,0,-1)+1</f>
        <v>2</v>
      </c>
      <c r="AH42" s="1262">
        <f ca="1">OFFSET(AH42,0,-1)+1</f>
        <v>3</v>
      </c>
      <c r="AI42" s="2262">
        <f ca="1">OFFSET(AI42,0,-1)+1</f>
        <v>4</v>
      </c>
      <c r="AJ42" s="2262"/>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5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52"/>
      <c r="F44" s="225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52"/>
      <c r="F45" s="2252"/>
      <c r="G45" s="225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52"/>
      <c r="F46" s="2252"/>
      <c r="G46" s="2252"/>
      <c r="H46" s="2251">
        <v>1</v>
      </c>
      <c r="I46" s="1290"/>
      <c r="J46" s="1290"/>
      <c r="K46" s="1290"/>
      <c r="L46" s="1291"/>
      <c r="M46" s="1292"/>
      <c r="N46" s="1292"/>
      <c r="O46" s="1292"/>
      <c r="P46" s="291"/>
      <c r="Q46" s="289"/>
      <c r="R46" s="290"/>
      <c r="S46" s="1263"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52"/>
      <c r="F47" s="2252"/>
      <c r="G47" s="2252"/>
      <c r="H47" s="2252"/>
      <c r="I47" s="2253" t="str">
        <f>S46&amp;".1"</f>
        <v>....1</v>
      </c>
      <c r="J47" s="1270"/>
      <c r="K47" s="1270"/>
      <c r="L47" s="1273" t="s">
        <v>409</v>
      </c>
      <c r="M47" s="447"/>
      <c r="N47" s="447"/>
      <c r="O47" s="447"/>
      <c r="P47" s="2255">
        <v>1</v>
      </c>
      <c r="Q47" s="1258"/>
      <c r="R47" s="293"/>
      <c r="S47" s="972"/>
      <c r="T47" s="1310"/>
      <c r="U47" s="1311"/>
      <c r="V47" s="2291"/>
      <c r="W47" s="2292"/>
      <c r="X47" s="2292"/>
      <c r="Y47" s="2292"/>
      <c r="Z47" s="2292"/>
      <c r="AA47" s="2292"/>
      <c r="AB47" s="2292"/>
      <c r="AC47" s="2293"/>
      <c r="AD47" s="2291"/>
      <c r="AE47" s="2292"/>
      <c r="AF47" s="2292"/>
      <c r="AG47" s="2292"/>
      <c r="AH47" s="2292"/>
      <c r="AI47" s="2292"/>
      <c r="AJ47" s="2292"/>
      <c r="AK47" s="2292"/>
      <c r="AL47" s="2293"/>
      <c r="AM47" s="1312"/>
      <c r="AO47" s="437"/>
      <c r="AP47" s="437" t="str">
        <f t="shared" si="1"/>
        <v/>
      </c>
      <c r="AQ47" s="437"/>
      <c r="AR47" s="437"/>
      <c r="AS47" s="448">
        <v>0</v>
      </c>
    </row>
    <row r="48" spans="1:45" ht="21.95" customHeight="1">
      <c r="A48" s="1290" t="s">
        <v>175</v>
      </c>
      <c r="B48" s="1290" t="s">
        <v>176</v>
      </c>
      <c r="C48" s="1290" t="s">
        <v>177</v>
      </c>
      <c r="D48" s="1290" t="s">
        <v>178</v>
      </c>
      <c r="E48" s="2252"/>
      <c r="F48" s="2252"/>
      <c r="G48" s="2252"/>
      <c r="H48" s="2252"/>
      <c r="I48" s="2254"/>
      <c r="J48" s="2253" t="str">
        <f>S46&amp;".1"</f>
        <v>....1</v>
      </c>
      <c r="K48" s="1290"/>
      <c r="L48" s="1291" t="s">
        <v>412</v>
      </c>
      <c r="P48" s="2255"/>
      <c r="Q48" s="2255">
        <v>1</v>
      </c>
      <c r="R48" s="294"/>
      <c r="S48" s="1263" t="str">
        <f>$J48</f>
        <v>....1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52"/>
      <c r="F49" s="2252"/>
      <c r="G49" s="2252"/>
      <c r="H49" s="2252"/>
      <c r="I49" s="2254"/>
      <c r="J49" s="2254"/>
      <c r="K49" s="2253" t="str">
        <f>J48&amp;".1"</f>
        <v>....1.1</v>
      </c>
      <c r="L49" s="1291" t="s">
        <v>415</v>
      </c>
      <c r="P49" s="2255"/>
      <c r="Q49" s="2255"/>
      <c r="R49" s="294">
        <v>1</v>
      </c>
      <c r="S49" s="1263" t="str">
        <f>$K49</f>
        <v>....1.1</v>
      </c>
      <c r="T49" s="1274"/>
      <c r="U49" s="238"/>
      <c r="V49" s="688"/>
      <c r="W49" s="263"/>
      <c r="X49" s="688"/>
      <c r="Y49" s="1184"/>
      <c r="Z49" s="2256"/>
      <c r="AA49" s="2126" t="s">
        <v>66</v>
      </c>
      <c r="AB49" s="2256"/>
      <c r="AC49" s="2126" t="s">
        <v>66</v>
      </c>
      <c r="AD49" s="688"/>
      <c r="AE49" s="263"/>
      <c r="AF49" s="688"/>
      <c r="AG49" s="1184"/>
      <c r="AH49" s="2256"/>
      <c r="AI49" s="2126" t="s">
        <v>66</v>
      </c>
      <c r="AJ49" s="2258"/>
      <c r="AK49" s="2126" t="s">
        <v>66</v>
      </c>
      <c r="AL49" s="1275"/>
      <c r="AM49" s="2274" t="s">
        <v>456</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52"/>
      <c r="F50" s="2252"/>
      <c r="G50" s="2252"/>
      <c r="H50" s="2252"/>
      <c r="I50" s="2254"/>
      <c r="J50" s="2254"/>
      <c r="K50" s="2253"/>
      <c r="L50" s="1291"/>
      <c r="P50" s="2255"/>
      <c r="Q50" s="2255"/>
      <c r="R50" s="294"/>
      <c r="S50" s="1269"/>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437"/>
      <c r="AP50" s="437" t="str">
        <f t="shared" si="1"/>
        <v/>
      </c>
      <c r="AQ50" s="437"/>
      <c r="AR50" s="437"/>
      <c r="AS50" s="1082">
        <v>1</v>
      </c>
    </row>
    <row r="51" spans="1:45" ht="11.45" customHeight="1">
      <c r="A51" s="1290" t="s">
        <v>175</v>
      </c>
      <c r="B51" s="1290" t="s">
        <v>176</v>
      </c>
      <c r="C51" s="1290" t="s">
        <v>177</v>
      </c>
      <c r="D51" s="1290" t="s">
        <v>178</v>
      </c>
      <c r="E51" s="2252"/>
      <c r="F51" s="2252"/>
      <c r="G51" s="2252"/>
      <c r="H51" s="2252"/>
      <c r="I51" s="2254"/>
      <c r="J51" s="2253"/>
      <c r="K51" s="1290"/>
      <c r="L51" s="1291"/>
      <c r="P51" s="2255"/>
      <c r="Q51" s="225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76"/>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52"/>
      <c r="F52" s="2252"/>
      <c r="G52" s="2252"/>
      <c r="H52" s="2252"/>
      <c r="I52" s="2253"/>
      <c r="J52" s="1290"/>
      <c r="K52" s="1290"/>
      <c r="L52" s="1291"/>
      <c r="P52" s="225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52"/>
      <c r="F53" s="2252"/>
      <c r="G53" s="2252"/>
      <c r="H53" s="225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52"/>
      <c r="F54" s="2252"/>
      <c r="G54" s="2251"/>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52"/>
      <c r="F55" s="2251"/>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51"/>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19</v>
      </c>
    </row>
    <row r="60" spans="1:45" ht="29.2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28</v>
      </c>
    </row>
    <row r="61" spans="1:45" ht="42" customHeight="1">
      <c r="O61" s="474"/>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2">
        <v>40</v>
      </c>
    </row>
    <row r="62" spans="1:45" ht="14.65" customHeight="1">
      <c r="O62" s="474"/>
      <c r="AS62" s="1082">
        <v>14</v>
      </c>
    </row>
    <row r="63" spans="1:45" ht="21" customHeight="1">
      <c r="O63" s="474"/>
      <c r="S63" s="1180"/>
      <c r="T63" s="2156"/>
      <c r="U63" s="2250"/>
      <c r="V63" s="2250"/>
      <c r="W63" s="2250"/>
      <c r="X63" s="2250"/>
      <c r="Y63" s="2250"/>
      <c r="Z63" s="2250"/>
      <c r="AA63" s="2250"/>
      <c r="AB63" s="2250"/>
      <c r="AC63" s="2250"/>
      <c r="AD63" s="2250"/>
      <c r="AE63" s="2250"/>
      <c r="AF63" s="2250"/>
      <c r="AG63" s="2250"/>
      <c r="AH63" s="2250"/>
      <c r="AI63" s="2250"/>
      <c r="AJ63" s="2250"/>
      <c r="AK63" s="2250"/>
      <c r="AL63" s="2250"/>
      <c r="AM63" s="2250"/>
      <c r="AS63" s="1082">
        <v>20</v>
      </c>
    </row>
    <row r="64" spans="1:45" ht="29.25" customHeight="1">
      <c r="O64" s="474"/>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51">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437"/>
      <c r="AP2" s="437" t="str">
        <f t="shared" ref="AP2:AP15" si="0">IF(T2="","",T2)</f>
        <v>Наименование тарифа</v>
      </c>
      <c r="AQ2" s="437"/>
      <c r="AR2" s="437"/>
      <c r="AS2" s="1082">
        <v>0</v>
      </c>
    </row>
    <row r="3" spans="1:45" ht="21" hidden="1" customHeight="1">
      <c r="A3" s="1290"/>
      <c r="B3" s="1290"/>
      <c r="C3" s="1290"/>
      <c r="D3" s="1290"/>
      <c r="E3" s="2252"/>
      <c r="F3" s="225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437"/>
      <c r="AP3" s="437" t="str">
        <f t="shared" si="0"/>
        <v>Территория действия тарифа</v>
      </c>
      <c r="AQ3" s="437"/>
      <c r="AR3" s="437"/>
      <c r="AS3" s="1082">
        <v>0</v>
      </c>
    </row>
    <row r="4" spans="1:45" ht="23.25" hidden="1" customHeight="1">
      <c r="A4" s="1290"/>
      <c r="B4" s="1290"/>
      <c r="C4" s="1290"/>
      <c r="D4" s="1290"/>
      <c r="E4" s="2252"/>
      <c r="F4" s="2252"/>
      <c r="G4" s="2251">
        <v>1</v>
      </c>
      <c r="H4" s="1290"/>
      <c r="I4" s="1290"/>
      <c r="J4" s="1290"/>
      <c r="K4" s="1290"/>
      <c r="L4" s="1291"/>
      <c r="M4" s="1292"/>
      <c r="N4" s="1292"/>
      <c r="O4" s="1292"/>
      <c r="P4" s="291"/>
      <c r="Q4" s="289"/>
      <c r="R4" s="290"/>
      <c r="S4" s="1930" t="e">
        <f>INDEX(PT_DIFFERENTIATION_NUM_CS,MATCH(C4,PT_DIFFERENTIATION_CS_ID,0))</f>
        <v>#N/A</v>
      </c>
      <c r="T4" s="1934" t="s">
        <v>405</v>
      </c>
      <c r="U4" s="1935"/>
      <c r="V4" s="2296"/>
      <c r="W4" s="2297"/>
      <c r="X4" s="2297"/>
      <c r="Y4" s="2297"/>
      <c r="Z4" s="2297"/>
      <c r="AA4" s="2297"/>
      <c r="AB4" s="2297"/>
      <c r="AC4" s="2298"/>
      <c r="AD4" s="2296" t="e">
        <f>INDEX(PT_DIFFERENTIATION_CS,MATCH(C4,PT_DIFFERENTIATION_CS_ID,0))</f>
        <v>#N/A</v>
      </c>
      <c r="AE4" s="2297"/>
      <c r="AF4" s="2297"/>
      <c r="AG4" s="2297"/>
      <c r="AH4" s="2297"/>
      <c r="AI4" s="2297"/>
      <c r="AJ4" s="2297"/>
      <c r="AK4" s="2297"/>
      <c r="AL4" s="2298"/>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52"/>
      <c r="F5" s="2252"/>
      <c r="G5" s="2252"/>
      <c r="H5" s="2251">
        <v>1</v>
      </c>
      <c r="I5" s="1290"/>
      <c r="J5" s="1290"/>
      <c r="K5" s="1290"/>
      <c r="L5" s="1291"/>
      <c r="M5" s="1292"/>
      <c r="N5" s="1292"/>
      <c r="O5" s="1292"/>
      <c r="P5" s="291"/>
      <c r="Q5" s="289"/>
      <c r="R5" s="1562"/>
      <c r="S5" s="1929" t="e">
        <f>INDEX(PT_DIFFERENTIATION_NUM_IST_TE,MATCH(D5,PT_DIFFERENTIATION_IST_TE_ID,0))</f>
        <v>#N/A</v>
      </c>
      <c r="T5" s="248" t="s">
        <v>407</v>
      </c>
      <c r="U5" s="238"/>
      <c r="V5" s="2299"/>
      <c r="W5" s="2299"/>
      <c r="X5" s="2299"/>
      <c r="Y5" s="2299"/>
      <c r="Z5" s="2299"/>
      <c r="AA5" s="2299"/>
      <c r="AB5" s="2299"/>
      <c r="AC5" s="2299"/>
      <c r="AD5" s="2299" t="e">
        <f>INDEX(PT_DIFFERENTIATION_IST_TE,MATCH(D5,PT_DIFFERENTIATION_IST_TE_ID,0))</f>
        <v>#N/A</v>
      </c>
      <c r="AE5" s="2299"/>
      <c r="AF5" s="2299"/>
      <c r="AG5" s="2299"/>
      <c r="AH5" s="2299"/>
      <c r="AI5" s="2299"/>
      <c r="AJ5" s="2299"/>
      <c r="AK5" s="2299"/>
      <c r="AL5" s="2299"/>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52"/>
      <c r="F6" s="2252"/>
      <c r="G6" s="2252"/>
      <c r="H6" s="2252"/>
      <c r="I6" s="2253" t="e">
        <f>S5&amp;".1"</f>
        <v>#N/A</v>
      </c>
      <c r="J6" s="1290"/>
      <c r="K6" s="1290"/>
      <c r="L6" s="1291" t="s">
        <v>409</v>
      </c>
      <c r="M6" s="474"/>
      <c r="P6" s="2255">
        <v>1</v>
      </c>
      <c r="Q6" s="1258"/>
      <c r="R6" s="1928"/>
      <c r="S6" s="972"/>
      <c r="T6" s="1310"/>
      <c r="U6" s="1311"/>
      <c r="V6" s="2300"/>
      <c r="W6" s="2300"/>
      <c r="X6" s="2300"/>
      <c r="Y6" s="2300"/>
      <c r="Z6" s="2300"/>
      <c r="AA6" s="2300"/>
      <c r="AB6" s="2300"/>
      <c r="AC6" s="2300"/>
      <c r="AD6" s="2300"/>
      <c r="AE6" s="2300"/>
      <c r="AF6" s="2300"/>
      <c r="AG6" s="2300"/>
      <c r="AH6" s="2300"/>
      <c r="AI6" s="2300"/>
      <c r="AJ6" s="2300"/>
      <c r="AK6" s="2300"/>
      <c r="AL6" s="2300"/>
      <c r="AM6" s="1933"/>
      <c r="AO6" s="437"/>
      <c r="AP6" s="437" t="str">
        <f t="shared" si="0"/>
        <v/>
      </c>
      <c r="AQ6" s="437"/>
      <c r="AR6" s="437"/>
      <c r="AS6" s="1082">
        <v>0</v>
      </c>
    </row>
    <row r="7" spans="1:45" ht="84" hidden="1" customHeight="1">
      <c r="A7" s="1290"/>
      <c r="B7" s="1290"/>
      <c r="C7" s="1290"/>
      <c r="D7" s="1290"/>
      <c r="E7" s="2252"/>
      <c r="F7" s="2252"/>
      <c r="G7" s="2252"/>
      <c r="H7" s="2252"/>
      <c r="I7" s="2254"/>
      <c r="J7" s="2253" t="e">
        <f>I6&amp;".1"</f>
        <v>#N/A</v>
      </c>
      <c r="K7" s="1290"/>
      <c r="L7" s="1291" t="s">
        <v>412</v>
      </c>
      <c r="M7" s="474"/>
      <c r="N7" s="1293"/>
      <c r="P7" s="2255"/>
      <c r="Q7" s="2255">
        <v>1</v>
      </c>
      <c r="R7" s="1569"/>
      <c r="S7" s="1929" t="e">
        <f>$J7</f>
        <v>#N/A</v>
      </c>
      <c r="T7" s="224" t="s">
        <v>413</v>
      </c>
      <c r="U7" s="238"/>
      <c r="V7" s="2294"/>
      <c r="W7" s="2294"/>
      <c r="X7" s="2294"/>
      <c r="Y7" s="2294"/>
      <c r="Z7" s="2294"/>
      <c r="AA7" s="2294"/>
      <c r="AB7" s="2294"/>
      <c r="AC7" s="2294"/>
      <c r="AD7" s="2294"/>
      <c r="AE7" s="2294"/>
      <c r="AF7" s="2294"/>
      <c r="AG7" s="2294"/>
      <c r="AH7" s="2294"/>
      <c r="AI7" s="2294"/>
      <c r="AJ7" s="2294"/>
      <c r="AK7" s="2294"/>
      <c r="AL7" s="2294"/>
      <c r="AM7" s="1932" t="s">
        <v>414</v>
      </c>
      <c r="AO7" s="437"/>
      <c r="AP7" s="437" t="str">
        <f t="shared" si="0"/>
        <v>Группа потребителей</v>
      </c>
      <c r="AQ7" s="437"/>
      <c r="AR7" s="437"/>
      <c r="AS7" s="1082">
        <v>0</v>
      </c>
    </row>
    <row r="8" spans="1:45" ht="11.25" hidden="1" customHeight="1">
      <c r="A8" s="1290"/>
      <c r="B8" s="1290"/>
      <c r="C8" s="1290"/>
      <c r="D8" s="1290"/>
      <c r="E8" s="2252"/>
      <c r="F8" s="2252"/>
      <c r="G8" s="2252"/>
      <c r="H8" s="2252"/>
      <c r="I8" s="2254"/>
      <c r="J8" s="2254"/>
      <c r="K8" s="2253" t="e">
        <f>J7&amp;".1"</f>
        <v>#N/A</v>
      </c>
      <c r="L8" s="1291" t="s">
        <v>415</v>
      </c>
      <c r="M8" s="474"/>
      <c r="N8" s="1293"/>
      <c r="O8" s="1293"/>
      <c r="P8" s="2255"/>
      <c r="Q8" s="2255"/>
      <c r="R8" s="294">
        <v>1</v>
      </c>
      <c r="S8" s="1931" t="e">
        <f>$K8</f>
        <v>#N/A</v>
      </c>
      <c r="T8" s="1936"/>
      <c r="U8" s="1937"/>
      <c r="V8" s="1938"/>
      <c r="W8" s="1276"/>
      <c r="X8" s="1938"/>
      <c r="Y8" s="1939"/>
      <c r="Z8" s="2295"/>
      <c r="AA8" s="2131" t="s">
        <v>66</v>
      </c>
      <c r="AB8" s="2295"/>
      <c r="AC8" s="2131" t="s">
        <v>66</v>
      </c>
      <c r="AD8" s="1938"/>
      <c r="AE8" s="1276"/>
      <c r="AF8" s="1938"/>
      <c r="AG8" s="1939"/>
      <c r="AH8" s="2295"/>
      <c r="AI8" s="2131" t="s">
        <v>66</v>
      </c>
      <c r="AJ8" s="2295"/>
      <c r="AK8" s="2131" t="s">
        <v>66</v>
      </c>
      <c r="AL8" s="1276"/>
      <c r="AM8" s="2274" t="s">
        <v>416</v>
      </c>
      <c r="AN8" s="448" t="e">
        <f ca="1">STRCHECKDATE(V9:AL9)</f>
        <v>#NAME?</v>
      </c>
      <c r="AO8" s="437"/>
      <c r="AP8" s="437" t="str">
        <f t="shared" si="0"/>
        <v/>
      </c>
      <c r="AQ8" s="437"/>
      <c r="AR8" s="437"/>
      <c r="AS8" s="1082">
        <v>0</v>
      </c>
    </row>
    <row r="9" spans="1:45" ht="0.75" hidden="1" customHeight="1">
      <c r="A9" s="1290"/>
      <c r="B9" s="1290"/>
      <c r="C9" s="1290"/>
      <c r="D9" s="1290"/>
      <c r="E9" s="2252"/>
      <c r="F9" s="2252"/>
      <c r="G9" s="2252"/>
      <c r="H9" s="2252"/>
      <c r="I9" s="2254"/>
      <c r="J9" s="2254"/>
      <c r="K9" s="2253"/>
      <c r="L9" s="1291"/>
      <c r="M9" s="474"/>
      <c r="N9" s="1293"/>
      <c r="O9" s="1293"/>
      <c r="P9" s="2255"/>
      <c r="Q9" s="2255"/>
      <c r="R9" s="294"/>
      <c r="S9" s="126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437"/>
      <c r="AP9" s="437" t="str">
        <f t="shared" si="0"/>
        <v/>
      </c>
      <c r="AQ9" s="437"/>
      <c r="AR9" s="437"/>
      <c r="AS9" s="1082">
        <v>0</v>
      </c>
    </row>
    <row r="10" spans="1:45" ht="11.25" hidden="1" customHeight="1">
      <c r="A10" s="1290"/>
      <c r="B10" s="1290"/>
      <c r="C10" s="1290"/>
      <c r="D10" s="1290"/>
      <c r="E10" s="2252"/>
      <c r="F10" s="2252"/>
      <c r="G10" s="2252"/>
      <c r="H10" s="2252"/>
      <c r="I10" s="2254"/>
      <c r="J10" s="2253"/>
      <c r="K10" s="1290"/>
      <c r="L10" s="1291"/>
      <c r="M10" s="474"/>
      <c r="N10" s="1293"/>
      <c r="P10" s="2255"/>
      <c r="Q10" s="225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7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52"/>
      <c r="F11" s="2252"/>
      <c r="G11" s="2252"/>
      <c r="H11" s="2252"/>
      <c r="I11" s="2253"/>
      <c r="J11" s="1290"/>
      <c r="K11" s="1290"/>
      <c r="L11" s="1291"/>
      <c r="M11" s="474"/>
      <c r="P11" s="225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52"/>
      <c r="F12" s="2252"/>
      <c r="G12" s="2252"/>
      <c r="H12" s="225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52"/>
      <c r="F13" s="2252"/>
      <c r="G13" s="2251"/>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52"/>
      <c r="F14" s="2251"/>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51"/>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49"/>
      <c r="AI17" s="2248" t="s">
        <v>66</v>
      </c>
      <c r="AJ17" s="2249"/>
      <c r="AK17" s="2248" t="s">
        <v>66</v>
      </c>
      <c r="AS17" s="1082">
        <v>0</v>
      </c>
    </row>
    <row r="18" spans="1:45" ht="14.25" hidden="1" customHeight="1">
      <c r="AD18" s="1287"/>
      <c r="AE18" s="1287"/>
      <c r="AF18" s="1287"/>
      <c r="AG18" s="266" t="str">
        <f>AH17&amp;"-"&amp;AJ17</f>
        <v>-</v>
      </c>
      <c r="AH18" s="2248"/>
      <c r="AI18" s="2248"/>
      <c r="AJ18" s="2248"/>
      <c r="AK18" s="224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8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3"/>
      <c r="U26" s="2183"/>
      <c r="V26" s="2183"/>
      <c r="W26" s="2183"/>
      <c r="X26" s="2183"/>
      <c r="Y26" s="2183"/>
      <c r="Z26" s="2183"/>
      <c r="AA26" s="2183"/>
      <c r="AB26" s="2183"/>
      <c r="AC26" s="2183"/>
      <c r="AD26" s="2183"/>
      <c r="AE26" s="2183"/>
      <c r="AF26" s="2183"/>
      <c r="AG26" s="2183"/>
      <c r="AH26" s="2183"/>
      <c r="AI26" s="2183"/>
      <c r="AJ26" s="2183"/>
      <c r="AK26" s="1170"/>
      <c r="AS26" s="1082">
        <v>52</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42" t="s">
        <v>42</v>
      </c>
      <c r="T29" s="2242"/>
      <c r="U29" s="1299"/>
      <c r="V29" s="2244" t="str">
        <f>IF(TITLE_NAME_OR_PR_CHANGE="",IF(TITLE_NAME_OR_PR="","",TITLE_NAME_OR_PR),TITLE_NAME_OR_PR_CHANGE)</f>
        <v/>
      </c>
      <c r="W29" s="2244"/>
      <c r="X29" s="2244"/>
      <c r="Y29" s="2244"/>
      <c r="Z29" s="2244"/>
      <c r="AA29" s="2244"/>
      <c r="AB29" s="2244"/>
      <c r="AC29" s="264"/>
      <c r="AD29" s="2244" t="str">
        <f>IF(TITLE_NAME_OR_PR_CHANGE="",IF(TITLE_NAME_OR_PR="","",TITLE_NAME_OR_PR),TITLE_NAME_OR_PR_CHANGE)</f>
        <v/>
      </c>
      <c r="AE29" s="2244"/>
      <c r="AF29" s="2244"/>
      <c r="AG29" s="2244"/>
      <c r="AH29" s="2244"/>
      <c r="AI29" s="2244"/>
      <c r="AJ29" s="224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42" t="s">
        <v>426</v>
      </c>
      <c r="T30" s="2242"/>
      <c r="U30" s="1299"/>
      <c r="V30" s="2243">
        <f>IF(TITLE_DATE_PR_CHANGE="",IF(TITLE_DATE_PR="","",TITLE_DATE_PR),TITLE_DATE_PR_CHANGE)</f>
        <v>45777</v>
      </c>
      <c r="W30" s="2243"/>
      <c r="X30" s="2243"/>
      <c r="Y30" s="2243"/>
      <c r="Z30" s="2243"/>
      <c r="AA30" s="2243"/>
      <c r="AB30" s="2243"/>
      <c r="AC30" s="264"/>
      <c r="AD30" s="2243">
        <f>IF(TITLE_DATE_PR_CHANGE="",IF(TITLE_DATE_PR="","",TITLE_DATE_PR),TITLE_DATE_PR_CHANGE)</f>
        <v>45777</v>
      </c>
      <c r="AE30" s="2243"/>
      <c r="AF30" s="2243"/>
      <c r="AG30" s="2243"/>
      <c r="AH30" s="2243"/>
      <c r="AI30" s="2243"/>
      <c r="AJ30" s="224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42" t="s">
        <v>427</v>
      </c>
      <c r="T31" s="2242"/>
      <c r="U31" s="1299"/>
      <c r="V31" s="2244" t="str">
        <f>IF(TITLE_NUMBER_PR_CHANGE="",IF(TITLE_NUMBER_PR="","",TITLE_NUMBER_PR),TITLE_NUMBER_PR_CHANGE)</f>
        <v>466</v>
      </c>
      <c r="W31" s="2244"/>
      <c r="X31" s="2244"/>
      <c r="Y31" s="2244"/>
      <c r="Z31" s="2244"/>
      <c r="AA31" s="2244"/>
      <c r="AB31" s="2244"/>
      <c r="AC31" s="264"/>
      <c r="AD31" s="2244" t="str">
        <f>IF(TITLE_NUMBER_PR_CHANGE="",IF(TITLE_NUMBER_PR="","",TITLE_NUMBER_PR),TITLE_NUMBER_PR_CHANGE)</f>
        <v>466</v>
      </c>
      <c r="AE31" s="2244"/>
      <c r="AF31" s="2244"/>
      <c r="AG31" s="2244"/>
      <c r="AH31" s="2244"/>
      <c r="AI31" s="2244"/>
      <c r="AJ31" s="224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42" t="s">
        <v>43</v>
      </c>
      <c r="T32" s="2242"/>
      <c r="U32" s="1299"/>
      <c r="V32" s="2244" t="str">
        <f>IF(TITLE_IST_PUB_CHANGE="",IF(TITLE_IST_PUB="","",TITLE_IST_PUB),TITLE_IST_PUB_CHANGE)</f>
        <v/>
      </c>
      <c r="W32" s="2244"/>
      <c r="X32" s="2244"/>
      <c r="Y32" s="2244"/>
      <c r="Z32" s="2244"/>
      <c r="AA32" s="2244"/>
      <c r="AB32" s="2244"/>
      <c r="AC32" s="264"/>
      <c r="AD32" s="2244" t="str">
        <f>IF(TITLE_IST_PUB_CHANGE="",IF(TITLE_IST_PUB="","",TITLE_IST_PUB),TITLE_IST_PUB_CHANGE)</f>
        <v/>
      </c>
      <c r="AE32" s="2244"/>
      <c r="AF32" s="2244"/>
      <c r="AG32" s="2244"/>
      <c r="AH32" s="2244"/>
      <c r="AI32" s="2244"/>
      <c r="AJ32" s="224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42" t="s">
        <v>428</v>
      </c>
      <c r="T34" s="2242"/>
      <c r="U34" s="1299"/>
      <c r="V34" s="2243">
        <f>IF(TITLE_DATE_PR_CHANGE="",IF(TITLE_DATE_PR="","",TITLE_DATE_PR),TITLE_DATE_PR_CHANGE)</f>
        <v>45777</v>
      </c>
      <c r="W34" s="2243"/>
      <c r="X34" s="2243"/>
      <c r="Y34" s="2243"/>
      <c r="Z34" s="2243"/>
      <c r="AA34" s="2243"/>
      <c r="AB34" s="2243"/>
      <c r="AC34" s="264"/>
      <c r="AD34" s="2243">
        <f>IF(TITLE_DATE_PR_CHANGE="",IF(TITLE_DATE_PR="","",TITLE_DATE_PR),TITLE_DATE_PR_CHANGE)</f>
        <v>45777</v>
      </c>
      <c r="AE34" s="2243"/>
      <c r="AF34" s="2243"/>
      <c r="AG34" s="2243"/>
      <c r="AH34" s="2243"/>
      <c r="AI34" s="2243"/>
      <c r="AJ34" s="2243"/>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42" t="s">
        <v>429</v>
      </c>
      <c r="T35" s="2242"/>
      <c r="U35" s="1299"/>
      <c r="V35" s="2244" t="str">
        <f>IF(TITLE_NUMBER_PR_CHANGE="",IF(TITLE_NUMBER_PR="","",TITLE_NUMBER_PR),TITLE_NUMBER_PR_CHANGE)</f>
        <v>466</v>
      </c>
      <c r="W35" s="2244"/>
      <c r="X35" s="2244"/>
      <c r="Y35" s="2244"/>
      <c r="Z35" s="2244"/>
      <c r="AA35" s="2244"/>
      <c r="AB35" s="2244"/>
      <c r="AC35" s="264"/>
      <c r="AD35" s="2244" t="str">
        <f>IF(TITLE_NUMBER_PR_CHANGE="",IF(TITLE_NUMBER_PR="","",TITLE_NUMBER_PR),TITLE_NUMBER_PR_CHANGE)</f>
        <v>466</v>
      </c>
      <c r="AE35" s="2244"/>
      <c r="AF35" s="2244"/>
      <c r="AG35" s="2244"/>
      <c r="AH35" s="2244"/>
      <c r="AI35" s="2244"/>
      <c r="AJ35" s="224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63"/>
      <c r="W37" s="2263"/>
      <c r="X37" s="2263"/>
      <c r="Y37" s="2263"/>
      <c r="Z37" s="2263"/>
      <c r="AA37" s="2263"/>
      <c r="AB37" s="2263"/>
      <c r="AC37" s="2263"/>
      <c r="AD37" s="2263"/>
      <c r="AE37" s="2263"/>
      <c r="AF37" s="2263"/>
      <c r="AG37" s="2263"/>
      <c r="AH37" s="2263"/>
      <c r="AI37" s="2263"/>
      <c r="AJ37" s="2263"/>
      <c r="AK37" s="2263"/>
      <c r="AS37" s="1082">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082">
        <v>14</v>
      </c>
    </row>
    <row r="39" spans="1:45" ht="14.65" customHeight="1">
      <c r="Q39" s="313"/>
      <c r="R39" s="313"/>
      <c r="S39" s="2264" t="s">
        <v>88</v>
      </c>
      <c r="T39" s="2212" t="s">
        <v>431</v>
      </c>
      <c r="U39" s="239"/>
      <c r="V39" s="2265" t="s">
        <v>432</v>
      </c>
      <c r="W39" s="2266"/>
      <c r="X39" s="2266"/>
      <c r="Y39" s="2266"/>
      <c r="Z39" s="2266"/>
      <c r="AA39" s="2266"/>
      <c r="AB39" s="2267"/>
      <c r="AC39" s="2268" t="s">
        <v>433</v>
      </c>
      <c r="AD39" s="2265" t="s">
        <v>432</v>
      </c>
      <c r="AE39" s="2266"/>
      <c r="AF39" s="2266"/>
      <c r="AG39" s="2266"/>
      <c r="AH39" s="2266"/>
      <c r="AI39" s="2266"/>
      <c r="AJ39" s="2267"/>
      <c r="AK39" s="2268" t="s">
        <v>434</v>
      </c>
      <c r="AL39" s="2271" t="s">
        <v>435</v>
      </c>
      <c r="AM39" s="2116"/>
      <c r="AS39" s="1082">
        <v>14</v>
      </c>
    </row>
    <row r="40" spans="1:45" ht="35.65" customHeight="1">
      <c r="Q40" s="313"/>
      <c r="R40" s="313"/>
      <c r="S40" s="2264"/>
      <c r="T40" s="2212"/>
      <c r="U40" s="961"/>
      <c r="V40" s="2184" t="s">
        <v>436</v>
      </c>
      <c r="W40" s="2260"/>
      <c r="X40" s="2098" t="s">
        <v>438</v>
      </c>
      <c r="Y40" s="2097"/>
      <c r="Z40" s="2098" t="s">
        <v>439</v>
      </c>
      <c r="AA40" s="2103"/>
      <c r="AB40" s="2097"/>
      <c r="AC40" s="2269"/>
      <c r="AD40" s="2184" t="s">
        <v>455</v>
      </c>
      <c r="AE40" s="2260"/>
      <c r="AF40" s="2098" t="s">
        <v>438</v>
      </c>
      <c r="AG40" s="2097"/>
      <c r="AH40" s="2098" t="s">
        <v>439</v>
      </c>
      <c r="AI40" s="2103"/>
      <c r="AJ40" s="2097"/>
      <c r="AK40" s="2269"/>
      <c r="AL40" s="2272"/>
      <c r="AM40" s="2116"/>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421</v>
      </c>
      <c r="Q41" s="313"/>
      <c r="R41" s="313"/>
      <c r="S41" s="2264"/>
      <c r="T41" s="2212"/>
      <c r="U41" s="240"/>
      <c r="V41" s="2237"/>
      <c r="W41" s="2261"/>
      <c r="X41" s="1149" t="s">
        <v>447</v>
      </c>
      <c r="Y41" s="1149" t="s">
        <v>448</v>
      </c>
      <c r="Z41" s="1265" t="s">
        <v>449</v>
      </c>
      <c r="AA41" s="2217" t="s">
        <v>450</v>
      </c>
      <c r="AB41" s="2231"/>
      <c r="AC41" s="2270"/>
      <c r="AD41" s="2237"/>
      <c r="AE41" s="2261"/>
      <c r="AF41" s="1149" t="s">
        <v>447</v>
      </c>
      <c r="AG41" s="1149" t="s">
        <v>448</v>
      </c>
      <c r="AH41" s="1265" t="s">
        <v>449</v>
      </c>
      <c r="AI41" s="2217" t="s">
        <v>450</v>
      </c>
      <c r="AJ41" s="2231"/>
      <c r="AK41" s="2270"/>
      <c r="AL41" s="2273"/>
      <c r="AM41" s="211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62">
        <f ca="1">OFFSET(AA42,0,-1)+1</f>
        <v>4</v>
      </c>
      <c r="AB42" s="2262"/>
      <c r="AC42" s="1262">
        <f ca="1">OFFSET(AC42,0,-2)+1</f>
        <v>5</v>
      </c>
      <c r="AD42" s="1262">
        <f ca="1">OFFSET(AD42,0,-1)+1</f>
        <v>6</v>
      </c>
      <c r="AE42" s="1262"/>
      <c r="AF42" s="1262">
        <f ca="1">OFFSET(AF42,0,-1)+1</f>
        <v>1</v>
      </c>
      <c r="AG42" s="1262">
        <f ca="1">OFFSET(AG42,0,-1)+1</f>
        <v>2</v>
      </c>
      <c r="AH42" s="1262">
        <f ca="1">OFFSET(AH42,0,-1)+1</f>
        <v>3</v>
      </c>
      <c r="AI42" s="2262">
        <f ca="1">OFFSET(AI42,0,-1)+1</f>
        <v>4</v>
      </c>
      <c r="AJ42" s="2262"/>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5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52"/>
      <c r="F44" s="225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52"/>
      <c r="F45" s="2252"/>
      <c r="G45" s="225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52"/>
      <c r="F46" s="2252"/>
      <c r="G46" s="2252"/>
      <c r="H46" s="2251">
        <v>1</v>
      </c>
      <c r="I46" s="1290"/>
      <c r="J46" s="1290"/>
      <c r="K46" s="1290"/>
      <c r="L46" s="1291"/>
      <c r="M46" s="1292"/>
      <c r="N46" s="1292"/>
      <c r="O46" s="1292"/>
      <c r="P46" s="291"/>
      <c r="Q46" s="289"/>
      <c r="R46" s="290"/>
      <c r="S46" s="1263"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52"/>
      <c r="F47" s="2252"/>
      <c r="G47" s="2252"/>
      <c r="H47" s="2252"/>
      <c r="I47" s="2253" t="str">
        <f>S46&amp;".1"</f>
        <v>....1</v>
      </c>
      <c r="J47" s="1270"/>
      <c r="K47" s="1270"/>
      <c r="L47" s="1273" t="s">
        <v>409</v>
      </c>
      <c r="M47" s="447"/>
      <c r="N47" s="447"/>
      <c r="O47" s="447"/>
      <c r="P47" s="2255">
        <v>1</v>
      </c>
      <c r="Q47" s="1258"/>
      <c r="R47" s="293"/>
      <c r="S47" s="972"/>
      <c r="T47" s="1310"/>
      <c r="U47" s="1311"/>
      <c r="V47" s="2291"/>
      <c r="W47" s="2292"/>
      <c r="X47" s="2292"/>
      <c r="Y47" s="2292"/>
      <c r="Z47" s="2292"/>
      <c r="AA47" s="2292"/>
      <c r="AB47" s="2292"/>
      <c r="AC47" s="2293"/>
      <c r="AD47" s="2291"/>
      <c r="AE47" s="2292"/>
      <c r="AF47" s="2292"/>
      <c r="AG47" s="2292"/>
      <c r="AH47" s="2292"/>
      <c r="AI47" s="2292"/>
      <c r="AJ47" s="2292"/>
      <c r="AK47" s="2292"/>
      <c r="AL47" s="2293"/>
      <c r="AM47" s="1312"/>
      <c r="AO47" s="437"/>
      <c r="AP47" s="437" t="str">
        <f t="shared" si="1"/>
        <v/>
      </c>
      <c r="AQ47" s="437"/>
      <c r="AR47" s="437"/>
      <c r="AS47" s="448">
        <v>0</v>
      </c>
    </row>
    <row r="48" spans="1:45" ht="21.95" customHeight="1">
      <c r="A48" s="1290" t="s">
        <v>187</v>
      </c>
      <c r="B48" s="1290" t="s">
        <v>188</v>
      </c>
      <c r="C48" s="1290" t="s">
        <v>189</v>
      </c>
      <c r="D48" s="1290" t="s">
        <v>190</v>
      </c>
      <c r="E48" s="2252"/>
      <c r="F48" s="2252"/>
      <c r="G48" s="2252"/>
      <c r="H48" s="2252"/>
      <c r="I48" s="2254"/>
      <c r="J48" s="2253" t="str">
        <f>S46&amp;".1"</f>
        <v>....1</v>
      </c>
      <c r="K48" s="1290"/>
      <c r="L48" s="1291" t="s">
        <v>412</v>
      </c>
      <c r="P48" s="2255"/>
      <c r="Q48" s="2255">
        <v>1</v>
      </c>
      <c r="R48" s="294"/>
      <c r="S48" s="1263" t="str">
        <f>$J48</f>
        <v>....1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52"/>
      <c r="F49" s="2252"/>
      <c r="G49" s="2252"/>
      <c r="H49" s="2252"/>
      <c r="I49" s="2254"/>
      <c r="J49" s="2254"/>
      <c r="K49" s="2253" t="str">
        <f>J48&amp;".1"</f>
        <v>....1.1</v>
      </c>
      <c r="L49" s="1291" t="s">
        <v>415</v>
      </c>
      <c r="P49" s="2255"/>
      <c r="Q49" s="2255"/>
      <c r="R49" s="294">
        <v>1</v>
      </c>
      <c r="S49" s="1263" t="str">
        <f>$K49</f>
        <v>....1.1</v>
      </c>
      <c r="T49" s="1274"/>
      <c r="U49" s="238"/>
      <c r="V49" s="688"/>
      <c r="W49" s="263"/>
      <c r="X49" s="688"/>
      <c r="Y49" s="1184"/>
      <c r="Z49" s="2256"/>
      <c r="AA49" s="2126" t="s">
        <v>66</v>
      </c>
      <c r="AB49" s="2256"/>
      <c r="AC49" s="2126" t="s">
        <v>66</v>
      </c>
      <c r="AD49" s="688"/>
      <c r="AE49" s="263"/>
      <c r="AF49" s="688"/>
      <c r="AG49" s="1184"/>
      <c r="AH49" s="2256"/>
      <c r="AI49" s="2126" t="s">
        <v>66</v>
      </c>
      <c r="AJ49" s="2258"/>
      <c r="AK49" s="2126" t="s">
        <v>66</v>
      </c>
      <c r="AL49" s="1275"/>
      <c r="AM49" s="2274" t="s">
        <v>456</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52"/>
      <c r="F50" s="2252"/>
      <c r="G50" s="2252"/>
      <c r="H50" s="2252"/>
      <c r="I50" s="2254"/>
      <c r="J50" s="2254"/>
      <c r="K50" s="2253"/>
      <c r="L50" s="1291"/>
      <c r="P50" s="2255"/>
      <c r="Q50" s="2255"/>
      <c r="R50" s="294"/>
      <c r="S50" s="1269"/>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437"/>
      <c r="AP50" s="437" t="str">
        <f t="shared" si="1"/>
        <v/>
      </c>
      <c r="AQ50" s="437"/>
      <c r="AR50" s="437"/>
      <c r="AS50" s="1082">
        <v>1</v>
      </c>
    </row>
    <row r="51" spans="1:45" ht="11.45" customHeight="1">
      <c r="A51" s="1290" t="s">
        <v>187</v>
      </c>
      <c r="B51" s="1290" t="s">
        <v>188</v>
      </c>
      <c r="C51" s="1290" t="s">
        <v>189</v>
      </c>
      <c r="D51" s="1290" t="s">
        <v>190</v>
      </c>
      <c r="E51" s="2252"/>
      <c r="F51" s="2252"/>
      <c r="G51" s="2252"/>
      <c r="H51" s="2252"/>
      <c r="I51" s="2254"/>
      <c r="J51" s="2253"/>
      <c r="K51" s="1290"/>
      <c r="L51" s="1291"/>
      <c r="P51" s="2255"/>
      <c r="Q51" s="225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76"/>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52"/>
      <c r="F52" s="2252"/>
      <c r="G52" s="2252"/>
      <c r="H52" s="2252"/>
      <c r="I52" s="2253"/>
      <c r="J52" s="1290"/>
      <c r="K52" s="1290"/>
      <c r="L52" s="1291"/>
      <c r="P52" s="225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52"/>
      <c r="F53" s="2252"/>
      <c r="G53" s="2252"/>
      <c r="H53" s="225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52"/>
      <c r="F54" s="2252"/>
      <c r="G54" s="2251"/>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52"/>
      <c r="F55" s="2251"/>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51"/>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22</v>
      </c>
    </row>
    <row r="60" spans="1:45" ht="30.4"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29</v>
      </c>
    </row>
    <row r="61" spans="1:45" ht="42" customHeight="1">
      <c r="O61" s="474"/>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2">
        <v>40</v>
      </c>
    </row>
    <row r="62" spans="1:45" ht="14.65" customHeight="1">
      <c r="O62" s="474"/>
      <c r="AS62" s="1082">
        <v>14</v>
      </c>
    </row>
    <row r="63" spans="1:45" ht="21" customHeight="1">
      <c r="O63" s="474"/>
      <c r="S63" s="1180"/>
      <c r="T63" s="2156"/>
      <c r="U63" s="2250"/>
      <c r="V63" s="2250"/>
      <c r="W63" s="2250"/>
      <c r="X63" s="2250"/>
      <c r="Y63" s="2250"/>
      <c r="Z63" s="2250"/>
      <c r="AA63" s="2250"/>
      <c r="AB63" s="2250"/>
      <c r="AC63" s="2250"/>
      <c r="AD63" s="2250"/>
      <c r="AE63" s="2250"/>
      <c r="AF63" s="2250"/>
      <c r="AG63" s="2250"/>
      <c r="AH63" s="2250"/>
      <c r="AI63" s="2250"/>
      <c r="AJ63" s="2250"/>
      <c r="AK63" s="2250"/>
      <c r="AL63" s="2250"/>
      <c r="AM63" s="2250"/>
      <c r="AS63" s="1082">
        <v>20</v>
      </c>
    </row>
    <row r="64" spans="1:45" ht="29.25" customHeight="1">
      <c r="O64" s="474"/>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51">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85" t="s">
        <v>402</v>
      </c>
      <c r="AO2" s="437"/>
      <c r="AP2" s="437" t="str">
        <f t="shared" ref="AP2:AP15" si="0">IF(T2="","",T2)</f>
        <v>Наименование тарифа</v>
      </c>
      <c r="AQ2" s="437"/>
      <c r="AR2" s="437"/>
      <c r="AS2" s="1082">
        <v>0</v>
      </c>
    </row>
    <row r="3" spans="1:45" ht="21" hidden="1" customHeight="1">
      <c r="A3" s="1290"/>
      <c r="B3" s="1290"/>
      <c r="C3" s="1290"/>
      <c r="D3" s="1290"/>
      <c r="E3" s="2252"/>
      <c r="F3" s="2251">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85" t="s">
        <v>404</v>
      </c>
      <c r="AO3" s="437"/>
      <c r="AP3" s="437" t="str">
        <f t="shared" si="0"/>
        <v>Территория действия тарифа</v>
      </c>
      <c r="AQ3" s="437"/>
      <c r="AR3" s="437"/>
      <c r="AS3" s="1082">
        <v>0</v>
      </c>
    </row>
    <row r="4" spans="1:45" ht="23.25" hidden="1" customHeight="1">
      <c r="A4" s="1290"/>
      <c r="B4" s="1290"/>
      <c r="C4" s="1290"/>
      <c r="D4" s="1290"/>
      <c r="E4" s="2252"/>
      <c r="F4" s="2252"/>
      <c r="G4" s="2251">
        <v>1</v>
      </c>
      <c r="H4" s="1290"/>
      <c r="I4" s="1290"/>
      <c r="J4" s="1290"/>
      <c r="K4" s="1290"/>
      <c r="L4" s="1291"/>
      <c r="M4" s="1292"/>
      <c r="N4" s="1292"/>
      <c r="O4" s="1292"/>
      <c r="P4" s="291"/>
      <c r="Q4" s="289"/>
      <c r="R4" s="290"/>
      <c r="S4" s="1263" t="e">
        <f>INDEX(PT_DIFFERENTIATION_NUM_CS,MATCH(C4,PT_DIFFERENTIATION_CS_ID,0))</f>
        <v>#N/A</v>
      </c>
      <c r="T4" s="247" t="s">
        <v>405</v>
      </c>
      <c r="U4" s="238"/>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52"/>
      <c r="F5" s="2252"/>
      <c r="G5" s="2252"/>
      <c r="H5" s="2251">
        <v>1</v>
      </c>
      <c r="I5" s="1290"/>
      <c r="J5" s="1290"/>
      <c r="K5" s="1290"/>
      <c r="L5" s="1291"/>
      <c r="M5" s="1292"/>
      <c r="N5" s="1292"/>
      <c r="O5" s="1292"/>
      <c r="P5" s="291"/>
      <c r="Q5" s="289"/>
      <c r="R5" s="290"/>
      <c r="S5" s="1263" t="e">
        <f>INDEX(PT_DIFFERENTIATION_NUM_IST_TE,MATCH(D5,PT_DIFFERENTIATION_IST_TE_ID,0))</f>
        <v>#N/A</v>
      </c>
      <c r="T5" s="248" t="s">
        <v>407</v>
      </c>
      <c r="U5" s="238"/>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52"/>
      <c r="F6" s="2252"/>
      <c r="G6" s="2252"/>
      <c r="H6" s="2252"/>
      <c r="I6" s="2253" t="e">
        <f>S5&amp;".1"</f>
        <v>#N/A</v>
      </c>
      <c r="J6" s="1290"/>
      <c r="K6" s="1290"/>
      <c r="L6" s="1291" t="s">
        <v>409</v>
      </c>
      <c r="M6" s="474"/>
      <c r="P6" s="2255">
        <v>1</v>
      </c>
      <c r="Q6" s="1258"/>
      <c r="R6" s="293"/>
      <c r="S6" s="972"/>
      <c r="T6" s="1310"/>
      <c r="U6" s="1311"/>
      <c r="V6" s="2291"/>
      <c r="W6" s="2292"/>
      <c r="X6" s="2292"/>
      <c r="Y6" s="2292"/>
      <c r="Z6" s="2292"/>
      <c r="AA6" s="2292"/>
      <c r="AB6" s="2292"/>
      <c r="AC6" s="2293"/>
      <c r="AD6" s="2291"/>
      <c r="AE6" s="2292"/>
      <c r="AF6" s="2292"/>
      <c r="AG6" s="2292"/>
      <c r="AH6" s="2292"/>
      <c r="AI6" s="2292"/>
      <c r="AJ6" s="2292"/>
      <c r="AK6" s="2292"/>
      <c r="AL6" s="2293"/>
      <c r="AM6" s="1312"/>
      <c r="AO6" s="437"/>
      <c r="AP6" s="437" t="str">
        <f t="shared" si="0"/>
        <v/>
      </c>
      <c r="AQ6" s="437"/>
      <c r="AR6" s="437"/>
      <c r="AS6" s="1082">
        <v>0</v>
      </c>
    </row>
    <row r="7" spans="1:45" ht="21" hidden="1" customHeight="1">
      <c r="A7" s="1290"/>
      <c r="B7" s="1290"/>
      <c r="C7" s="1290"/>
      <c r="D7" s="1290"/>
      <c r="E7" s="2252"/>
      <c r="F7" s="2252"/>
      <c r="G7" s="2252"/>
      <c r="H7" s="2252"/>
      <c r="I7" s="2254"/>
      <c r="J7" s="2253" t="e">
        <f>I6&amp;".1"</f>
        <v>#N/A</v>
      </c>
      <c r="K7" s="1290"/>
      <c r="L7" s="1291" t="s">
        <v>412</v>
      </c>
      <c r="M7" s="474"/>
      <c r="N7" s="1293"/>
      <c r="P7" s="2255"/>
      <c r="Q7" s="2255">
        <v>1</v>
      </c>
      <c r="R7" s="294"/>
      <c r="S7" s="1263" t="e">
        <f>$J7</f>
        <v>#N/A</v>
      </c>
      <c r="T7" s="224" t="s">
        <v>413</v>
      </c>
      <c r="U7" s="238"/>
      <c r="V7" s="2239"/>
      <c r="W7" s="2240"/>
      <c r="X7" s="2240"/>
      <c r="Y7" s="2240"/>
      <c r="Z7" s="2240"/>
      <c r="AA7" s="2240"/>
      <c r="AB7" s="2240"/>
      <c r="AC7" s="2241"/>
      <c r="AD7" s="2239"/>
      <c r="AE7" s="2240"/>
      <c r="AF7" s="2240"/>
      <c r="AG7" s="2240"/>
      <c r="AH7" s="2240"/>
      <c r="AI7" s="2240"/>
      <c r="AJ7" s="2240"/>
      <c r="AK7" s="2240"/>
      <c r="AL7" s="2241"/>
      <c r="AM7" s="1185" t="s">
        <v>414</v>
      </c>
      <c r="AO7" s="437"/>
      <c r="AP7" s="437" t="str">
        <f t="shared" si="0"/>
        <v>Группа потребителей</v>
      </c>
      <c r="AQ7" s="437"/>
      <c r="AR7" s="437"/>
      <c r="AS7" s="1082">
        <v>0</v>
      </c>
    </row>
    <row r="8" spans="1:45" ht="21" hidden="1" customHeight="1">
      <c r="A8" s="1290"/>
      <c r="B8" s="1290"/>
      <c r="C8" s="1290"/>
      <c r="D8" s="1290"/>
      <c r="E8" s="2252"/>
      <c r="F8" s="2252"/>
      <c r="G8" s="2252"/>
      <c r="H8" s="2252"/>
      <c r="I8" s="2254"/>
      <c r="J8" s="2254"/>
      <c r="K8" s="2253" t="e">
        <f>J7&amp;".1"</f>
        <v>#N/A</v>
      </c>
      <c r="L8" s="1291" t="s">
        <v>415</v>
      </c>
      <c r="M8" s="474"/>
      <c r="N8" s="1293"/>
      <c r="O8" s="1293"/>
      <c r="P8" s="2255"/>
      <c r="Q8" s="2255"/>
      <c r="R8" s="294">
        <v>1</v>
      </c>
      <c r="S8" s="1263" t="e">
        <f>$K8</f>
        <v>#N/A</v>
      </c>
      <c r="T8" s="1274"/>
      <c r="U8" s="238"/>
      <c r="V8" s="688"/>
      <c r="W8" s="263"/>
      <c r="X8" s="688"/>
      <c r="Y8" s="1184"/>
      <c r="Z8" s="2256"/>
      <c r="AA8" s="2126" t="s">
        <v>66</v>
      </c>
      <c r="AB8" s="2256"/>
      <c r="AC8" s="2126" t="s">
        <v>66</v>
      </c>
      <c r="AD8" s="688"/>
      <c r="AE8" s="263"/>
      <c r="AF8" s="688"/>
      <c r="AG8" s="1184"/>
      <c r="AH8" s="2256"/>
      <c r="AI8" s="2126" t="s">
        <v>66</v>
      </c>
      <c r="AJ8" s="2256"/>
      <c r="AK8" s="2126" t="s">
        <v>66</v>
      </c>
      <c r="AL8" s="263"/>
      <c r="AM8" s="2274" t="s">
        <v>416</v>
      </c>
      <c r="AN8" s="448" t="e">
        <f ca="1">STRCHECKDATE(V9:AL9)</f>
        <v>#NAME?</v>
      </c>
      <c r="AO8" s="437"/>
      <c r="AP8" s="437" t="str">
        <f t="shared" si="0"/>
        <v/>
      </c>
      <c r="AQ8" s="437"/>
      <c r="AR8" s="437"/>
      <c r="AS8" s="1082">
        <v>0</v>
      </c>
    </row>
    <row r="9" spans="1:45" ht="14.25" hidden="1" customHeight="1">
      <c r="A9" s="1290"/>
      <c r="B9" s="1290"/>
      <c r="C9" s="1290"/>
      <c r="D9" s="1290"/>
      <c r="E9" s="2252"/>
      <c r="F9" s="2252"/>
      <c r="G9" s="2252"/>
      <c r="H9" s="2252"/>
      <c r="I9" s="2254"/>
      <c r="J9" s="2254"/>
      <c r="K9" s="2253"/>
      <c r="L9" s="1291"/>
      <c r="M9" s="474"/>
      <c r="N9" s="1293"/>
      <c r="O9" s="1293"/>
      <c r="P9" s="2255"/>
      <c r="Q9" s="2255"/>
      <c r="R9" s="294"/>
      <c r="S9" s="1269"/>
      <c r="T9" s="238"/>
      <c r="U9" s="238"/>
      <c r="V9" s="263"/>
      <c r="W9" s="263"/>
      <c r="X9" s="263"/>
      <c r="Y9" s="266" t="str">
        <f>Z8&amp;"-"&amp;AB8</f>
        <v>-</v>
      </c>
      <c r="Z9" s="2257"/>
      <c r="AA9" s="2126"/>
      <c r="AB9" s="2257"/>
      <c r="AC9" s="2126"/>
      <c r="AD9" s="263"/>
      <c r="AE9" s="263"/>
      <c r="AF9" s="263"/>
      <c r="AG9" s="266" t="str">
        <f>AH8&amp;"-"&amp;AJ8</f>
        <v>-</v>
      </c>
      <c r="AH9" s="2257"/>
      <c r="AI9" s="2126"/>
      <c r="AJ9" s="2257"/>
      <c r="AK9" s="2126"/>
      <c r="AL9" s="263"/>
      <c r="AM9" s="2275"/>
      <c r="AO9" s="437"/>
      <c r="AP9" s="437" t="str">
        <f t="shared" si="0"/>
        <v/>
      </c>
      <c r="AQ9" s="437"/>
      <c r="AR9" s="437"/>
      <c r="AS9" s="1082">
        <v>0</v>
      </c>
    </row>
    <row r="10" spans="1:45" ht="15" hidden="1" customHeight="1">
      <c r="A10" s="1290"/>
      <c r="B10" s="1290"/>
      <c r="C10" s="1290"/>
      <c r="D10" s="1290"/>
      <c r="E10" s="2252"/>
      <c r="F10" s="2252"/>
      <c r="G10" s="2252"/>
      <c r="H10" s="2252"/>
      <c r="I10" s="2254"/>
      <c r="J10" s="2253"/>
      <c r="K10" s="1290"/>
      <c r="L10" s="1291"/>
      <c r="M10" s="474"/>
      <c r="N10" s="1293"/>
      <c r="P10" s="2255"/>
      <c r="Q10" s="2255"/>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7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52"/>
      <c r="F11" s="2252"/>
      <c r="G11" s="2252"/>
      <c r="H11" s="2252"/>
      <c r="I11" s="2253"/>
      <c r="J11" s="1290"/>
      <c r="K11" s="1290"/>
      <c r="L11" s="1291"/>
      <c r="M11" s="474"/>
      <c r="P11" s="2255"/>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52"/>
      <c r="F12" s="2252"/>
      <c r="G12" s="2252"/>
      <c r="H12" s="225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52"/>
      <c r="F13" s="2252"/>
      <c r="G13" s="2251"/>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52"/>
      <c r="F14" s="2251"/>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51"/>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49"/>
      <c r="AI17" s="2248" t="s">
        <v>66</v>
      </c>
      <c r="AJ17" s="2249"/>
      <c r="AK17" s="2248" t="s">
        <v>66</v>
      </c>
      <c r="AS17" s="1082">
        <v>0</v>
      </c>
    </row>
    <row r="18" spans="1:45" ht="14.25" hidden="1" customHeight="1">
      <c r="AD18" s="1287"/>
      <c r="AE18" s="1287"/>
      <c r="AF18" s="1287"/>
      <c r="AG18" s="266" t="str">
        <f>AH17&amp;"-"&amp;AJ17</f>
        <v>-</v>
      </c>
      <c r="AH18" s="2248"/>
      <c r="AI18" s="2248"/>
      <c r="AJ18" s="2248"/>
      <c r="AK18" s="2248"/>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70"/>
      <c r="AS26" s="1082">
        <v>51</v>
      </c>
    </row>
    <row r="27" spans="1:45" ht="14.65" customHeight="1">
      <c r="Q27" s="313"/>
      <c r="R27" s="313"/>
      <c r="S27" s="2204" t="str">
        <f>IF(org=0,"Не определено",org)</f>
        <v>ООО ПКФ "Энергетик-2001"</v>
      </c>
      <c r="T27" s="2204"/>
      <c r="U27" s="2204"/>
      <c r="V27" s="2204"/>
      <c r="W27" s="2204"/>
      <c r="X27" s="2204"/>
      <c r="Y27" s="2204"/>
      <c r="Z27" s="2204"/>
      <c r="AA27" s="2204"/>
      <c r="AB27" s="2204"/>
      <c r="AC27" s="2204"/>
      <c r="AD27" s="2204"/>
      <c r="AE27" s="2204"/>
      <c r="AF27" s="2204"/>
      <c r="AG27" s="2204"/>
      <c r="AH27" s="2204"/>
      <c r="AI27" s="2204"/>
      <c r="AJ27" s="2204"/>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42" t="s">
        <v>42</v>
      </c>
      <c r="T29" s="2242"/>
      <c r="U29" s="1299"/>
      <c r="V29" s="2244" t="str">
        <f>IF(TITLE_NAME_OR_PR_CHANGE="",IF(TITLE_NAME_OR_PR="","",TITLE_NAME_OR_PR),TITLE_NAME_OR_PR_CHANGE)</f>
        <v/>
      </c>
      <c r="W29" s="2244"/>
      <c r="X29" s="2244"/>
      <c r="Y29" s="2244"/>
      <c r="Z29" s="2244"/>
      <c r="AA29" s="2244"/>
      <c r="AB29" s="2244"/>
      <c r="AC29" s="264"/>
      <c r="AD29" s="2244" t="str">
        <f>IF(TITLE_NAME_OR_PR_CHANGE="",IF(TITLE_NAME_OR_PR="","",TITLE_NAME_OR_PR),TITLE_NAME_OR_PR_CHANGE)</f>
        <v/>
      </c>
      <c r="AE29" s="2244"/>
      <c r="AF29" s="2244"/>
      <c r="AG29" s="2244"/>
      <c r="AH29" s="2244"/>
      <c r="AI29" s="2244"/>
      <c r="AJ29" s="2244"/>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42" t="s">
        <v>426</v>
      </c>
      <c r="T30" s="2242"/>
      <c r="U30" s="1299"/>
      <c r="V30" s="2243">
        <f>IF(TITLE_DATE_PR_CHANGE="",IF(TITLE_DATE_PR="","",TITLE_DATE_PR),TITLE_DATE_PR_CHANGE)</f>
        <v>45777</v>
      </c>
      <c r="W30" s="2243"/>
      <c r="X30" s="2243"/>
      <c r="Y30" s="2243"/>
      <c r="Z30" s="2243"/>
      <c r="AA30" s="2243"/>
      <c r="AB30" s="2243"/>
      <c r="AC30" s="264"/>
      <c r="AD30" s="2243">
        <f>IF(TITLE_DATE_PR_CHANGE="",IF(TITLE_DATE_PR="","",TITLE_DATE_PR),TITLE_DATE_PR_CHANGE)</f>
        <v>45777</v>
      </c>
      <c r="AE30" s="2243"/>
      <c r="AF30" s="2243"/>
      <c r="AG30" s="2243"/>
      <c r="AH30" s="2243"/>
      <c r="AI30" s="2243"/>
      <c r="AJ30" s="2243"/>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42" t="s">
        <v>427</v>
      </c>
      <c r="T31" s="2242"/>
      <c r="U31" s="1299"/>
      <c r="V31" s="2244" t="str">
        <f>IF(TITLE_NUMBER_PR_CHANGE="",IF(TITLE_NUMBER_PR="","",TITLE_NUMBER_PR),TITLE_NUMBER_PR_CHANGE)</f>
        <v>466</v>
      </c>
      <c r="W31" s="2244"/>
      <c r="X31" s="2244"/>
      <c r="Y31" s="2244"/>
      <c r="Z31" s="2244"/>
      <c r="AA31" s="2244"/>
      <c r="AB31" s="2244"/>
      <c r="AC31" s="264"/>
      <c r="AD31" s="2244" t="str">
        <f>IF(TITLE_NUMBER_PR_CHANGE="",IF(TITLE_NUMBER_PR="","",TITLE_NUMBER_PR),TITLE_NUMBER_PR_CHANGE)</f>
        <v>466</v>
      </c>
      <c r="AE31" s="2244"/>
      <c r="AF31" s="2244"/>
      <c r="AG31" s="2244"/>
      <c r="AH31" s="2244"/>
      <c r="AI31" s="2244"/>
      <c r="AJ31" s="2244"/>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42" t="s">
        <v>43</v>
      </c>
      <c r="T32" s="2242"/>
      <c r="U32" s="1299"/>
      <c r="V32" s="2244" t="str">
        <f>IF(TITLE_IST_PUB_CHANGE="",IF(TITLE_IST_PUB="","",TITLE_IST_PUB),TITLE_IST_PUB_CHANGE)</f>
        <v/>
      </c>
      <c r="W32" s="2244"/>
      <c r="X32" s="2244"/>
      <c r="Y32" s="2244"/>
      <c r="Z32" s="2244"/>
      <c r="AA32" s="2244"/>
      <c r="AB32" s="2244"/>
      <c r="AC32" s="264"/>
      <c r="AD32" s="2244" t="str">
        <f>IF(TITLE_IST_PUB_CHANGE="",IF(TITLE_IST_PUB="","",TITLE_IST_PUB),TITLE_IST_PUB_CHANGE)</f>
        <v/>
      </c>
      <c r="AE32" s="2244"/>
      <c r="AF32" s="2244"/>
      <c r="AG32" s="2244"/>
      <c r="AH32" s="2244"/>
      <c r="AI32" s="2244"/>
      <c r="AJ32" s="2244"/>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42" t="s">
        <v>428</v>
      </c>
      <c r="T34" s="2242"/>
      <c r="U34" s="1299"/>
      <c r="V34" s="2243">
        <f>IF(TITLE_DATE_PR_CHANGE="",IF(TITLE_DATE_PR="","",TITLE_DATE_PR),TITLE_DATE_PR_CHANGE)</f>
        <v>45777</v>
      </c>
      <c r="W34" s="2243"/>
      <c r="X34" s="2243"/>
      <c r="Y34" s="2243"/>
      <c r="Z34" s="2243"/>
      <c r="AA34" s="2243"/>
      <c r="AB34" s="2243"/>
      <c r="AC34" s="264"/>
      <c r="AD34" s="2243">
        <f>IF(TITLE_DATE_PR_CHANGE="",IF(TITLE_DATE_PR="","",TITLE_DATE_PR),TITLE_DATE_PR_CHANGE)</f>
        <v>45777</v>
      </c>
      <c r="AE34" s="2243"/>
      <c r="AF34" s="2243"/>
      <c r="AG34" s="2243"/>
      <c r="AH34" s="2243"/>
      <c r="AI34" s="2243"/>
      <c r="AJ34" s="2243"/>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42" t="s">
        <v>429</v>
      </c>
      <c r="T35" s="2242"/>
      <c r="U35" s="1299"/>
      <c r="V35" s="2244" t="str">
        <f>IF(TITLE_NUMBER_PR_CHANGE="",IF(TITLE_NUMBER_PR="","",TITLE_NUMBER_PR),TITLE_NUMBER_PR_CHANGE)</f>
        <v>466</v>
      </c>
      <c r="W35" s="2244"/>
      <c r="X35" s="2244"/>
      <c r="Y35" s="2244"/>
      <c r="Z35" s="2244"/>
      <c r="AA35" s="2244"/>
      <c r="AB35" s="2244"/>
      <c r="AC35" s="264"/>
      <c r="AD35" s="2244" t="str">
        <f>IF(TITLE_NUMBER_PR_CHANGE="",IF(TITLE_NUMBER_PR="","",TITLE_NUMBER_PR),TITLE_NUMBER_PR_CHANGE)</f>
        <v>466</v>
      </c>
      <c r="AE35" s="2244"/>
      <c r="AF35" s="2244"/>
      <c r="AG35" s="2244"/>
      <c r="AH35" s="2244"/>
      <c r="AI35" s="2244"/>
      <c r="AJ35" s="2244"/>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63"/>
      <c r="W37" s="2263"/>
      <c r="X37" s="2263"/>
      <c r="Y37" s="2263"/>
      <c r="Z37" s="2263"/>
      <c r="AA37" s="2263"/>
      <c r="AB37" s="2263"/>
      <c r="AC37" s="2263"/>
      <c r="AD37" s="2263"/>
      <c r="AE37" s="2263"/>
      <c r="AF37" s="2263"/>
      <c r="AG37" s="2263"/>
      <c r="AH37" s="2263"/>
      <c r="AI37" s="2263"/>
      <c r="AJ37" s="2263"/>
      <c r="AK37" s="2263"/>
      <c r="AS37" s="1082">
        <v>14</v>
      </c>
    </row>
    <row r="38" spans="1:45" ht="14.65" customHeight="1">
      <c r="Q38" s="313"/>
      <c r="R38" s="313"/>
      <c r="S38" s="2116" t="s">
        <v>306</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307</v>
      </c>
      <c r="AS38" s="1082">
        <v>14</v>
      </c>
    </row>
    <row r="39" spans="1:45" ht="14.65" customHeight="1">
      <c r="Q39" s="313"/>
      <c r="R39" s="313"/>
      <c r="S39" s="2264" t="s">
        <v>88</v>
      </c>
      <c r="T39" s="2212" t="s">
        <v>431</v>
      </c>
      <c r="U39" s="239"/>
      <c r="V39" s="2265" t="s">
        <v>432</v>
      </c>
      <c r="W39" s="2266"/>
      <c r="X39" s="2266"/>
      <c r="Y39" s="2266"/>
      <c r="Z39" s="2266"/>
      <c r="AA39" s="2266"/>
      <c r="AB39" s="2267"/>
      <c r="AC39" s="2268" t="s">
        <v>433</v>
      </c>
      <c r="AD39" s="2265" t="s">
        <v>432</v>
      </c>
      <c r="AE39" s="2266"/>
      <c r="AF39" s="2266"/>
      <c r="AG39" s="2266"/>
      <c r="AH39" s="2266"/>
      <c r="AI39" s="2266"/>
      <c r="AJ39" s="2267"/>
      <c r="AK39" s="2268" t="s">
        <v>434</v>
      </c>
      <c r="AL39" s="2271" t="s">
        <v>435</v>
      </c>
      <c r="AM39" s="2116"/>
      <c r="AS39" s="1082">
        <v>14</v>
      </c>
    </row>
    <row r="40" spans="1:45" ht="35.65" customHeight="1">
      <c r="Q40" s="313"/>
      <c r="R40" s="313"/>
      <c r="S40" s="2264"/>
      <c r="T40" s="2212"/>
      <c r="U40" s="961"/>
      <c r="V40" s="2184" t="s">
        <v>436</v>
      </c>
      <c r="W40" s="2260"/>
      <c r="X40" s="2098" t="s">
        <v>438</v>
      </c>
      <c r="Y40" s="2097"/>
      <c r="Z40" s="2098" t="s">
        <v>439</v>
      </c>
      <c r="AA40" s="2103"/>
      <c r="AB40" s="2097"/>
      <c r="AC40" s="2269"/>
      <c r="AD40" s="2184" t="s">
        <v>455</v>
      </c>
      <c r="AE40" s="2260"/>
      <c r="AF40" s="2098" t="s">
        <v>438</v>
      </c>
      <c r="AG40" s="2097"/>
      <c r="AH40" s="2098" t="s">
        <v>439</v>
      </c>
      <c r="AI40" s="2103"/>
      <c r="AJ40" s="2097"/>
      <c r="AK40" s="2269"/>
      <c r="AL40" s="2272"/>
      <c r="AM40" s="2116"/>
      <c r="AS40" s="1082">
        <v>34</v>
      </c>
    </row>
    <row r="41" spans="1:45" ht="35.65" customHeight="1">
      <c r="A41" s="1297"/>
      <c r="B41" s="1297" t="s">
        <v>136</v>
      </c>
      <c r="C41" s="1297" t="s">
        <v>137</v>
      </c>
      <c r="D41" s="1297" t="s">
        <v>138</v>
      </c>
      <c r="E41" s="1291" t="s">
        <v>440</v>
      </c>
      <c r="F41" s="1291" t="s">
        <v>441</v>
      </c>
      <c r="G41" s="1291" t="s">
        <v>442</v>
      </c>
      <c r="H41" s="1291" t="s">
        <v>443</v>
      </c>
      <c r="I41" s="1291" t="s">
        <v>444</v>
      </c>
      <c r="J41" s="1291" t="s">
        <v>445</v>
      </c>
      <c r="K41" s="1291" t="s">
        <v>446</v>
      </c>
      <c r="L41" s="1291" t="s">
        <v>421</v>
      </c>
      <c r="Q41" s="313"/>
      <c r="R41" s="313"/>
      <c r="S41" s="2264"/>
      <c r="T41" s="2212"/>
      <c r="U41" s="240"/>
      <c r="V41" s="2237"/>
      <c r="W41" s="2261"/>
      <c r="X41" s="1149" t="s">
        <v>447</v>
      </c>
      <c r="Y41" s="1149" t="s">
        <v>448</v>
      </c>
      <c r="Z41" s="1265" t="s">
        <v>449</v>
      </c>
      <c r="AA41" s="2217" t="s">
        <v>450</v>
      </c>
      <c r="AB41" s="2231"/>
      <c r="AC41" s="2270"/>
      <c r="AD41" s="2237"/>
      <c r="AE41" s="2261"/>
      <c r="AF41" s="1149" t="s">
        <v>447</v>
      </c>
      <c r="AG41" s="1149" t="s">
        <v>448</v>
      </c>
      <c r="AH41" s="1265" t="s">
        <v>449</v>
      </c>
      <c r="AI41" s="2217" t="s">
        <v>450</v>
      </c>
      <c r="AJ41" s="2231"/>
      <c r="AK41" s="2270"/>
      <c r="AL41" s="2273"/>
      <c r="AM41" s="2116"/>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62">
        <f ca="1">OFFSET(AA42,0,-1)+1</f>
        <v>4</v>
      </c>
      <c r="AB42" s="2262"/>
      <c r="AC42" s="1262">
        <f ca="1">OFFSET(AC42,0,-2)+1</f>
        <v>5</v>
      </c>
      <c r="AD42" s="1262">
        <f ca="1">OFFSET(AD42,0,-1)+1</f>
        <v>6</v>
      </c>
      <c r="AE42" s="1262"/>
      <c r="AF42" s="1262">
        <f ca="1">OFFSET(AF42,0,-1)+1</f>
        <v>1</v>
      </c>
      <c r="AG42" s="1262">
        <f ca="1">OFFSET(AG42,0,-1)+1</f>
        <v>2</v>
      </c>
      <c r="AH42" s="1262">
        <f ca="1">OFFSET(AH42,0,-1)+1</f>
        <v>3</v>
      </c>
      <c r="AI42" s="2262">
        <f ca="1">OFFSET(AI42,0,-1)+1</f>
        <v>4</v>
      </c>
      <c r="AJ42" s="2262"/>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51">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52"/>
      <c r="F44" s="2251">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85" t="s">
        <v>404</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52"/>
      <c r="F45" s="2252"/>
      <c r="G45" s="2251">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85" t="s">
        <v>406</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52"/>
      <c r="F46" s="2252"/>
      <c r="G46" s="2252"/>
      <c r="H46" s="2251">
        <v>1</v>
      </c>
      <c r="I46" s="1290"/>
      <c r="J46" s="1290"/>
      <c r="K46" s="1290"/>
      <c r="L46" s="1291"/>
      <c r="M46" s="1292"/>
      <c r="N46" s="1292"/>
      <c r="O46" s="1292"/>
      <c r="P46" s="291"/>
      <c r="Q46" s="289"/>
      <c r="R46" s="290"/>
      <c r="S46" s="1263" t="str">
        <f>INDEX(PT_DIFFERENTIATION_NUM_IST_TE,MATCH(D46,PT_DIFFERENTIATION_IST_TE_ID,0))</f>
        <v>...</v>
      </c>
      <c r="T46" s="248" t="s">
        <v>407</v>
      </c>
      <c r="U46" s="238"/>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85" t="s">
        <v>408</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52"/>
      <c r="F47" s="2252"/>
      <c r="G47" s="2252"/>
      <c r="H47" s="2252"/>
      <c r="I47" s="2253" t="str">
        <f>S46&amp;".1"</f>
        <v>....1</v>
      </c>
      <c r="J47" s="1270"/>
      <c r="K47" s="1270"/>
      <c r="L47" s="1273" t="s">
        <v>409</v>
      </c>
      <c r="M47" s="447"/>
      <c r="N47" s="447"/>
      <c r="O47" s="447"/>
      <c r="P47" s="2255">
        <v>1</v>
      </c>
      <c r="Q47" s="1258"/>
      <c r="R47" s="293"/>
      <c r="S47" s="972"/>
      <c r="T47" s="1310"/>
      <c r="U47" s="1311"/>
      <c r="V47" s="2291"/>
      <c r="W47" s="2292"/>
      <c r="X47" s="2292"/>
      <c r="Y47" s="2292"/>
      <c r="Z47" s="2292"/>
      <c r="AA47" s="2292"/>
      <c r="AB47" s="2292"/>
      <c r="AC47" s="2293"/>
      <c r="AD47" s="2291"/>
      <c r="AE47" s="2292"/>
      <c r="AF47" s="2292"/>
      <c r="AG47" s="2292"/>
      <c r="AH47" s="2292"/>
      <c r="AI47" s="2292"/>
      <c r="AJ47" s="2292"/>
      <c r="AK47" s="2292"/>
      <c r="AL47" s="2293"/>
      <c r="AM47" s="1312"/>
      <c r="AO47" s="437"/>
      <c r="AP47" s="437" t="str">
        <f t="shared" si="1"/>
        <v/>
      </c>
      <c r="AQ47" s="437"/>
      <c r="AR47" s="437"/>
      <c r="AS47" s="448">
        <v>0</v>
      </c>
    </row>
    <row r="48" spans="1:45" ht="21.95" customHeight="1">
      <c r="A48" s="1290" t="s">
        <v>193</v>
      </c>
      <c r="B48" s="1290" t="s">
        <v>194</v>
      </c>
      <c r="C48" s="1290" t="s">
        <v>195</v>
      </c>
      <c r="D48" s="1290" t="s">
        <v>196</v>
      </c>
      <c r="E48" s="2252"/>
      <c r="F48" s="2252"/>
      <c r="G48" s="2252"/>
      <c r="H48" s="2252"/>
      <c r="I48" s="2254"/>
      <c r="J48" s="2253" t="str">
        <f>S46&amp;".1"</f>
        <v>....1</v>
      </c>
      <c r="K48" s="1290"/>
      <c r="L48" s="1291" t="s">
        <v>412</v>
      </c>
      <c r="P48" s="2255"/>
      <c r="Q48" s="2255">
        <v>1</v>
      </c>
      <c r="R48" s="294"/>
      <c r="S48" s="1263" t="str">
        <f>$J48</f>
        <v>....1</v>
      </c>
      <c r="T48" s="224" t="s">
        <v>413</v>
      </c>
      <c r="U48" s="238"/>
      <c r="V48" s="2239"/>
      <c r="W48" s="2240"/>
      <c r="X48" s="2240"/>
      <c r="Y48" s="2240"/>
      <c r="Z48" s="2240"/>
      <c r="AA48" s="2240"/>
      <c r="AB48" s="2240"/>
      <c r="AC48" s="2241"/>
      <c r="AD48" s="2239"/>
      <c r="AE48" s="2240"/>
      <c r="AF48" s="2240"/>
      <c r="AG48" s="2240"/>
      <c r="AH48" s="2240"/>
      <c r="AI48" s="2240"/>
      <c r="AJ48" s="2240"/>
      <c r="AK48" s="2240"/>
      <c r="AL48" s="2241"/>
      <c r="AM48" s="1185" t="s">
        <v>414</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52"/>
      <c r="F49" s="2252"/>
      <c r="G49" s="2252"/>
      <c r="H49" s="2252"/>
      <c r="I49" s="2254"/>
      <c r="J49" s="2254"/>
      <c r="K49" s="2253" t="str">
        <f>J48&amp;".1"</f>
        <v>....1.1</v>
      </c>
      <c r="L49" s="1291" t="s">
        <v>415</v>
      </c>
      <c r="P49" s="2255"/>
      <c r="Q49" s="2255"/>
      <c r="R49" s="294">
        <v>1</v>
      </c>
      <c r="S49" s="1263" t="str">
        <f>$K49</f>
        <v>....1.1</v>
      </c>
      <c r="T49" s="1274"/>
      <c r="U49" s="238"/>
      <c r="V49" s="688"/>
      <c r="W49" s="263"/>
      <c r="X49" s="688"/>
      <c r="Y49" s="1184"/>
      <c r="Z49" s="2256"/>
      <c r="AA49" s="2126" t="s">
        <v>66</v>
      </c>
      <c r="AB49" s="2256"/>
      <c r="AC49" s="2126" t="s">
        <v>66</v>
      </c>
      <c r="AD49" s="688"/>
      <c r="AE49" s="263"/>
      <c r="AF49" s="688"/>
      <c r="AG49" s="1184"/>
      <c r="AH49" s="2256"/>
      <c r="AI49" s="2126" t="s">
        <v>66</v>
      </c>
      <c r="AJ49" s="2258"/>
      <c r="AK49" s="2126" t="s">
        <v>66</v>
      </c>
      <c r="AL49" s="1275"/>
      <c r="AM49" s="2274" t="s">
        <v>456</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52"/>
      <c r="F50" s="2252"/>
      <c r="G50" s="2252"/>
      <c r="H50" s="2252"/>
      <c r="I50" s="2254"/>
      <c r="J50" s="2254"/>
      <c r="K50" s="2253"/>
      <c r="L50" s="1291"/>
      <c r="P50" s="2255"/>
      <c r="Q50" s="2255"/>
      <c r="R50" s="294"/>
      <c r="S50" s="1269"/>
      <c r="T50" s="238"/>
      <c r="U50" s="238"/>
      <c r="V50" s="263"/>
      <c r="W50" s="263"/>
      <c r="X50" s="263"/>
      <c r="Y50" s="266" t="str">
        <f>Z49&amp;"-"&amp;AB49</f>
        <v>-</v>
      </c>
      <c r="Z50" s="2257"/>
      <c r="AA50" s="2126"/>
      <c r="AB50" s="2257"/>
      <c r="AC50" s="2126"/>
      <c r="AD50" s="263"/>
      <c r="AE50" s="263"/>
      <c r="AF50" s="263"/>
      <c r="AG50" s="266" t="str">
        <f>AH49&amp;"-"&amp;AJ49</f>
        <v>-</v>
      </c>
      <c r="AH50" s="2257"/>
      <c r="AI50" s="2126"/>
      <c r="AJ50" s="2259"/>
      <c r="AK50" s="2126"/>
      <c r="AL50" s="1276"/>
      <c r="AM50" s="2275"/>
      <c r="AO50" s="437"/>
      <c r="AP50" s="437" t="str">
        <f t="shared" si="1"/>
        <v/>
      </c>
      <c r="AQ50" s="437"/>
      <c r="AR50" s="437"/>
      <c r="AS50" s="1082">
        <v>0</v>
      </c>
    </row>
    <row r="51" spans="1:45" ht="11.45" customHeight="1">
      <c r="A51" s="1290" t="s">
        <v>193</v>
      </c>
      <c r="B51" s="1290" t="s">
        <v>194</v>
      </c>
      <c r="C51" s="1290" t="s">
        <v>195</v>
      </c>
      <c r="D51" s="1290" t="s">
        <v>196</v>
      </c>
      <c r="E51" s="2252"/>
      <c r="F51" s="2252"/>
      <c r="G51" s="2252"/>
      <c r="H51" s="2252"/>
      <c r="I51" s="2254"/>
      <c r="J51" s="2253"/>
      <c r="K51" s="1290"/>
      <c r="L51" s="1291"/>
      <c r="P51" s="2255"/>
      <c r="Q51" s="2255"/>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76"/>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52"/>
      <c r="F52" s="2252"/>
      <c r="G52" s="2252"/>
      <c r="H52" s="2252"/>
      <c r="I52" s="2253"/>
      <c r="J52" s="1290"/>
      <c r="K52" s="1290"/>
      <c r="L52" s="1291"/>
      <c r="P52" s="2255"/>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52"/>
      <c r="F53" s="2252"/>
      <c r="G53" s="2252"/>
      <c r="H53" s="225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52"/>
      <c r="F54" s="2252"/>
      <c r="G54" s="2251"/>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52"/>
      <c r="F55" s="2251"/>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51"/>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82">
        <v>14</v>
      </c>
    </row>
    <row r="60" spans="1:45" ht="14.65" customHeight="1">
      <c r="O60" s="47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82">
        <v>14</v>
      </c>
    </row>
    <row r="61" spans="1:45" ht="14.65" customHeight="1">
      <c r="O61" s="474"/>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82">
        <v>14</v>
      </c>
    </row>
    <row r="62" spans="1:45" ht="14.65" customHeight="1">
      <c r="O62" s="474"/>
      <c r="AS62" s="1082">
        <v>14</v>
      </c>
    </row>
    <row r="63" spans="1:45" ht="14.65" customHeight="1">
      <c r="O63" s="474"/>
      <c r="S63" s="1180"/>
      <c r="T63" s="2156"/>
      <c r="U63" s="2250"/>
      <c r="V63" s="2250"/>
      <c r="W63" s="2250"/>
      <c r="X63" s="2250"/>
      <c r="Y63" s="2250"/>
      <c r="Z63" s="2250"/>
      <c r="AA63" s="2250"/>
      <c r="AB63" s="2250"/>
      <c r="AC63" s="2250"/>
      <c r="AD63" s="2250"/>
      <c r="AE63" s="2250"/>
      <c r="AF63" s="2250"/>
      <c r="AG63" s="2250"/>
      <c r="AH63" s="2250"/>
      <c r="AI63" s="2250"/>
      <c r="AJ63" s="2250"/>
      <c r="AK63" s="2250"/>
      <c r="AL63" s="2250"/>
      <c r="AM63" s="2250"/>
      <c r="AS63" s="1082">
        <v>14</v>
      </c>
    </row>
    <row r="64" spans="1:45" ht="14.65" customHeight="1">
      <c r="O64" s="474"/>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82">
        <v>14</v>
      </c>
    </row>
    <row r="65" spans="1:45" ht="14.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09" hidden="1" customWidth="1"/>
    <col min="16" max="16" width="23.42578125" style="2009" hidden="1" customWidth="1"/>
    <col min="17" max="17" width="3.7109375" style="2009" hidden="1" customWidth="1"/>
    <col min="18" max="20" width="3" style="282" customWidth="1"/>
    <col min="21" max="21" width="12" style="2010"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8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45"/>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7"/>
      <c r="AQ2" s="1185" t="s">
        <v>402</v>
      </c>
      <c r="AS2" s="437"/>
      <c r="AT2" s="437" t="str">
        <f t="shared" ref="AT2:AT8" si="0">IF(V2="","",V2)</f>
        <v>Наименование тарифа</v>
      </c>
      <c r="AU2" s="437"/>
      <c r="AV2" s="437"/>
      <c r="AW2" s="1082">
        <v>0</v>
      </c>
    </row>
    <row r="3" spans="1:49" ht="21" hidden="1" customHeight="1">
      <c r="A3" s="1194"/>
      <c r="B3" s="1194"/>
      <c r="C3" s="1194"/>
      <c r="D3" s="1194"/>
      <c r="E3" s="2287"/>
      <c r="F3" s="2286">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45"/>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7"/>
      <c r="AQ3" s="1185" t="s">
        <v>404</v>
      </c>
      <c r="AS3" s="437"/>
      <c r="AT3" s="437" t="str">
        <f t="shared" si="0"/>
        <v>Территория действия тарифа</v>
      </c>
      <c r="AU3" s="437"/>
      <c r="AV3" s="437"/>
      <c r="AW3" s="1082">
        <v>0</v>
      </c>
    </row>
    <row r="4" spans="1:49" ht="22.5" hidden="1" customHeight="1">
      <c r="A4" s="1194"/>
      <c r="B4" s="1194"/>
      <c r="C4" s="1194"/>
      <c r="D4" s="1194"/>
      <c r="E4" s="2287"/>
      <c r="F4" s="2287"/>
      <c r="G4" s="2286">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45"/>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7"/>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87"/>
      <c r="F5" s="2287"/>
      <c r="G5" s="2287"/>
      <c r="H5" s="2286">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45"/>
      <c r="Y5" s="2246"/>
      <c r="Z5" s="2246"/>
      <c r="AA5" s="2246"/>
      <c r="AB5" s="2246"/>
      <c r="AC5" s="2246"/>
      <c r="AD5" s="2246"/>
      <c r="AE5" s="2246"/>
      <c r="AF5" s="2247"/>
      <c r="AG5" s="2245" t="e">
        <f>INDEX(PT_DIFFERENTIATION_IST_TE,MATCH(D5,PT_DIFFERENTIATION_IST_TE_ID,0))</f>
        <v>#N/A</v>
      </c>
      <c r="AH5" s="2246"/>
      <c r="AI5" s="2246"/>
      <c r="AJ5" s="2246"/>
      <c r="AK5" s="2246"/>
      <c r="AL5" s="2246"/>
      <c r="AM5" s="2246"/>
      <c r="AN5" s="2246"/>
      <c r="AO5" s="2246"/>
      <c r="AP5" s="2247"/>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87"/>
      <c r="F6" s="2287"/>
      <c r="G6" s="2287"/>
      <c r="H6" s="2287"/>
      <c r="I6" s="2116" t="e">
        <f>U5&amp;".1"</f>
        <v>#N/A</v>
      </c>
      <c r="J6" s="1194"/>
      <c r="K6" s="1194"/>
      <c r="L6" s="1194"/>
      <c r="M6" s="1237" t="s">
        <v>409</v>
      </c>
      <c r="N6" s="446"/>
      <c r="Q6" s="2255">
        <v>1</v>
      </c>
      <c r="R6" s="1258"/>
      <c r="S6" s="1258"/>
      <c r="T6" s="293"/>
      <c r="U6" s="972"/>
      <c r="V6" s="1310"/>
      <c r="W6" s="1311"/>
      <c r="X6" s="2291"/>
      <c r="Y6" s="2292"/>
      <c r="Z6" s="2292"/>
      <c r="AA6" s="2292"/>
      <c r="AB6" s="2292"/>
      <c r="AC6" s="2292"/>
      <c r="AD6" s="2292"/>
      <c r="AE6" s="2292"/>
      <c r="AF6" s="2293"/>
      <c r="AG6" s="2291"/>
      <c r="AH6" s="2292"/>
      <c r="AI6" s="2292"/>
      <c r="AJ6" s="2292"/>
      <c r="AK6" s="2292"/>
      <c r="AL6" s="2292"/>
      <c r="AM6" s="2292"/>
      <c r="AN6" s="2292"/>
      <c r="AO6" s="2292"/>
      <c r="AP6" s="2293"/>
      <c r="AQ6" s="1312"/>
      <c r="AS6" s="437"/>
      <c r="AT6" s="437" t="str">
        <f t="shared" si="0"/>
        <v/>
      </c>
      <c r="AU6" s="437"/>
      <c r="AV6" s="437"/>
      <c r="AW6" s="1082">
        <v>0</v>
      </c>
    </row>
    <row r="7" spans="1:49" ht="21" hidden="1" customHeight="1">
      <c r="A7" s="1194"/>
      <c r="B7" s="1194"/>
      <c r="C7" s="1194"/>
      <c r="D7" s="1194"/>
      <c r="E7" s="2287"/>
      <c r="F7" s="2287"/>
      <c r="G7" s="2287"/>
      <c r="H7" s="2287"/>
      <c r="I7" s="2098"/>
      <c r="J7" s="2116" t="e">
        <f>I6&amp;".1"</f>
        <v>#N/A</v>
      </c>
      <c r="K7" s="1194"/>
      <c r="L7" s="1194"/>
      <c r="M7" s="1237" t="s">
        <v>412</v>
      </c>
      <c r="N7" s="446"/>
      <c r="O7" s="265"/>
      <c r="Q7" s="2255"/>
      <c r="R7" s="2255">
        <v>1</v>
      </c>
      <c r="S7" s="455"/>
      <c r="T7" s="294"/>
      <c r="U7" s="1263" t="e">
        <f>$J7</f>
        <v>#N/A</v>
      </c>
      <c r="V7" s="224" t="s">
        <v>413</v>
      </c>
      <c r="W7" s="238"/>
      <c r="X7" s="2239"/>
      <c r="Y7" s="2240"/>
      <c r="Z7" s="2240"/>
      <c r="AA7" s="2240"/>
      <c r="AB7" s="2240"/>
      <c r="AC7" s="2235"/>
      <c r="AD7" s="2235"/>
      <c r="AE7" s="2235"/>
      <c r="AF7" s="2304"/>
      <c r="AG7" s="2239"/>
      <c r="AH7" s="2240"/>
      <c r="AI7" s="2240"/>
      <c r="AJ7" s="2240"/>
      <c r="AK7" s="2240"/>
      <c r="AL7" s="2240"/>
      <c r="AM7" s="2240"/>
      <c r="AN7" s="2240"/>
      <c r="AO7" s="2240"/>
      <c r="AP7" s="2241"/>
      <c r="AQ7" s="1185" t="s">
        <v>414</v>
      </c>
      <c r="AS7" s="437"/>
      <c r="AT7" s="437" t="str">
        <f t="shared" si="0"/>
        <v>Группа потребителей</v>
      </c>
      <c r="AU7" s="437"/>
      <c r="AV7" s="437"/>
      <c r="AW7" s="1082">
        <v>0</v>
      </c>
    </row>
    <row r="8" spans="1:49" ht="21" hidden="1" customHeight="1">
      <c r="A8" s="1194"/>
      <c r="B8" s="1194"/>
      <c r="C8" s="1194"/>
      <c r="D8" s="1194"/>
      <c r="E8" s="2287"/>
      <c r="F8" s="2287"/>
      <c r="G8" s="2287"/>
      <c r="H8" s="2287"/>
      <c r="I8" s="2098"/>
      <c r="J8" s="2098"/>
      <c r="K8" s="2116" t="e">
        <f>J7&amp;".1"</f>
        <v>#N/A</v>
      </c>
      <c r="L8" s="78"/>
      <c r="M8" s="1237" t="s">
        <v>415</v>
      </c>
      <c r="N8" s="446"/>
      <c r="O8" s="265"/>
      <c r="P8" s="265"/>
      <c r="Q8" s="2255"/>
      <c r="R8" s="2255"/>
      <c r="S8" s="2255">
        <v>1</v>
      </c>
      <c r="T8" s="294"/>
      <c r="U8" s="1263" t="e">
        <f>$K8</f>
        <v>#N/A</v>
      </c>
      <c r="V8" s="1274"/>
      <c r="W8" s="238"/>
      <c r="X8" s="688"/>
      <c r="Y8" s="688"/>
      <c r="Z8" s="688"/>
      <c r="AA8" s="688"/>
      <c r="AB8" s="1332"/>
      <c r="AC8" s="2256"/>
      <c r="AD8" s="2126" t="s">
        <v>66</v>
      </c>
      <c r="AE8" s="2256"/>
      <c r="AF8" s="2126" t="s">
        <v>66</v>
      </c>
      <c r="AG8" s="1334"/>
      <c r="AH8" s="688"/>
      <c r="AI8" s="688"/>
      <c r="AJ8" s="688"/>
      <c r="AK8" s="1184"/>
      <c r="AL8" s="2256"/>
      <c r="AM8" s="2126" t="s">
        <v>66</v>
      </c>
      <c r="AN8" s="2256"/>
      <c r="AO8" s="2126" t="s">
        <v>66</v>
      </c>
      <c r="AP8" s="263"/>
      <c r="AQ8" s="1234" t="s">
        <v>457</v>
      </c>
      <c r="AR8" s="448" t="e">
        <f ca="1">STRCHECKDATE(X10:AP10)</f>
        <v>#NAME?</v>
      </c>
      <c r="AS8" s="437"/>
      <c r="AT8" s="437" t="str">
        <f t="shared" si="0"/>
        <v/>
      </c>
      <c r="AU8" s="437"/>
      <c r="AV8" s="437"/>
      <c r="AW8" s="1082">
        <v>0</v>
      </c>
    </row>
    <row r="9" spans="1:49" ht="21" hidden="1" customHeight="1">
      <c r="A9" s="1194"/>
      <c r="B9" s="1194"/>
      <c r="C9" s="1194"/>
      <c r="D9" s="1194"/>
      <c r="E9" s="2287"/>
      <c r="F9" s="2287"/>
      <c r="G9" s="2287"/>
      <c r="H9" s="2287"/>
      <c r="I9" s="2098"/>
      <c r="J9" s="2098"/>
      <c r="K9" s="2098"/>
      <c r="L9" s="2116" t="e">
        <f>K8&amp;".1"</f>
        <v>#N/A</v>
      </c>
      <c r="M9" s="1237"/>
      <c r="N9" s="446"/>
      <c r="O9" s="265"/>
      <c r="P9" s="265"/>
      <c r="Q9" s="2255"/>
      <c r="R9" s="2255"/>
      <c r="S9" s="2255"/>
      <c r="T9" s="294"/>
      <c r="U9" s="1263" t="e">
        <f>$L9</f>
        <v>#N/A</v>
      </c>
      <c r="V9" s="1318"/>
      <c r="W9" s="238"/>
      <c r="X9" s="263"/>
      <c r="Y9" s="688"/>
      <c r="Z9" s="688"/>
      <c r="AA9" s="688"/>
      <c r="AB9" s="1332"/>
      <c r="AC9" s="2257"/>
      <c r="AD9" s="2126"/>
      <c r="AE9" s="2257"/>
      <c r="AF9" s="2126"/>
      <c r="AG9" s="1334"/>
      <c r="AH9" s="688"/>
      <c r="AI9" s="688"/>
      <c r="AJ9" s="688"/>
      <c r="AK9" s="1184"/>
      <c r="AL9" s="2257"/>
      <c r="AM9" s="2126"/>
      <c r="AN9" s="2257"/>
      <c r="AO9" s="2126"/>
      <c r="AP9" s="263"/>
      <c r="AQ9" s="2274" t="s">
        <v>458</v>
      </c>
      <c r="AS9" s="437"/>
      <c r="AT9" s="437"/>
      <c r="AU9" s="437"/>
      <c r="AV9" s="437"/>
      <c r="AW9" s="1082">
        <v>0</v>
      </c>
    </row>
    <row r="10" spans="1:49" ht="14.25" hidden="1" customHeight="1">
      <c r="A10" s="1194"/>
      <c r="B10" s="1194"/>
      <c r="C10" s="1194"/>
      <c r="D10" s="1194"/>
      <c r="E10" s="2287"/>
      <c r="F10" s="2287"/>
      <c r="G10" s="2287"/>
      <c r="H10" s="2287"/>
      <c r="I10" s="2098"/>
      <c r="J10" s="2098"/>
      <c r="K10" s="2098"/>
      <c r="L10" s="2116"/>
      <c r="M10" s="1237"/>
      <c r="N10" s="446"/>
      <c r="O10" s="265"/>
      <c r="P10" s="265"/>
      <c r="Q10" s="2255"/>
      <c r="R10" s="2255"/>
      <c r="S10" s="2255"/>
      <c r="T10" s="294"/>
      <c r="U10" s="1269"/>
      <c r="V10" s="238"/>
      <c r="W10" s="238"/>
      <c r="X10" s="263"/>
      <c r="Y10" s="263"/>
      <c r="Z10" s="263"/>
      <c r="AA10" s="263"/>
      <c r="AB10" s="1333" t="str">
        <f>AC8&amp;"-"&amp;AE8</f>
        <v>-</v>
      </c>
      <c r="AC10" s="2257"/>
      <c r="AD10" s="2126"/>
      <c r="AE10" s="2257"/>
      <c r="AF10" s="2126"/>
      <c r="AG10" s="1309"/>
      <c r="AH10" s="263"/>
      <c r="AI10" s="263"/>
      <c r="AJ10" s="263"/>
      <c r="AK10" s="266" t="str">
        <f>AL8&amp;"-"&amp;AN8</f>
        <v>-</v>
      </c>
      <c r="AL10" s="2257"/>
      <c r="AM10" s="2126"/>
      <c r="AN10" s="2257"/>
      <c r="AO10" s="2126"/>
      <c r="AP10" s="263"/>
      <c r="AQ10" s="2275"/>
      <c r="AS10" s="437"/>
      <c r="AT10" s="437" t="str">
        <f>IF(V10="","",V10)</f>
        <v/>
      </c>
      <c r="AU10" s="437"/>
      <c r="AV10" s="437"/>
      <c r="AW10" s="1082">
        <v>0</v>
      </c>
    </row>
    <row r="11" spans="1:49" ht="11.25" hidden="1" customHeight="1">
      <c r="A11" s="1194"/>
      <c r="B11" s="1194"/>
      <c r="C11" s="1194"/>
      <c r="D11" s="1194"/>
      <c r="E11" s="2287"/>
      <c r="F11" s="2287"/>
      <c r="G11" s="2287"/>
      <c r="H11" s="2287"/>
      <c r="I11" s="2098"/>
      <c r="J11" s="2098"/>
      <c r="K11" s="2116"/>
      <c r="L11" s="1194"/>
      <c r="M11" s="1237"/>
      <c r="N11" s="446"/>
      <c r="O11" s="265"/>
      <c r="P11" s="265"/>
      <c r="Q11" s="2255"/>
      <c r="R11" s="2255"/>
      <c r="S11" s="2255"/>
      <c r="T11" s="294"/>
      <c r="U11" s="1205"/>
      <c r="V11" s="226" t="s">
        <v>459</v>
      </c>
      <c r="W11" s="1319"/>
      <c r="X11" s="1320"/>
      <c r="Y11" s="1320"/>
      <c r="Z11" s="1320"/>
      <c r="AA11" s="1320"/>
      <c r="AB11" s="1321"/>
      <c r="AC11" s="2257"/>
      <c r="AD11" s="2126"/>
      <c r="AE11" s="2257"/>
      <c r="AF11" s="2126"/>
      <c r="AG11" s="1320"/>
      <c r="AH11" s="1320"/>
      <c r="AI11" s="1320"/>
      <c r="AJ11" s="1320"/>
      <c r="AK11" s="1321"/>
      <c r="AL11" s="2257"/>
      <c r="AM11" s="2126"/>
      <c r="AN11" s="2257"/>
      <c r="AO11" s="2126"/>
      <c r="AP11" s="1322"/>
      <c r="AQ11" s="2275"/>
      <c r="AS11" s="437"/>
      <c r="AT11" s="437"/>
      <c r="AU11" s="437"/>
      <c r="AV11" s="437"/>
      <c r="AW11" s="1082">
        <v>0</v>
      </c>
    </row>
    <row r="12" spans="1:49" ht="15" hidden="1" customHeight="1">
      <c r="A12" s="1194"/>
      <c r="B12" s="1194"/>
      <c r="C12" s="1194"/>
      <c r="D12" s="1194"/>
      <c r="E12" s="2287"/>
      <c r="F12" s="2287"/>
      <c r="G12" s="2287"/>
      <c r="H12" s="2287"/>
      <c r="I12" s="2098"/>
      <c r="J12" s="2116"/>
      <c r="K12" s="1194"/>
      <c r="L12" s="1194"/>
      <c r="M12" s="1237"/>
      <c r="N12" s="446"/>
      <c r="O12" s="265"/>
      <c r="Q12" s="2255"/>
      <c r="R12" s="2255"/>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7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87"/>
      <c r="F13" s="2287"/>
      <c r="G13" s="2287"/>
      <c r="H13" s="2287"/>
      <c r="I13" s="2116"/>
      <c r="J13" s="1194"/>
      <c r="K13" s="1194"/>
      <c r="L13" s="1194"/>
      <c r="M13" s="1237"/>
      <c r="N13" s="446"/>
      <c r="Q13" s="2255"/>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87"/>
      <c r="F14" s="2287"/>
      <c r="G14" s="2287"/>
      <c r="H14" s="228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87"/>
      <c r="F15" s="2287"/>
      <c r="G15" s="2286"/>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87"/>
      <c r="F16" s="2286"/>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86"/>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49"/>
      <c r="AM19" s="2248" t="s">
        <v>66</v>
      </c>
      <c r="AN19" s="2249"/>
      <c r="AO19" s="2248" t="s">
        <v>66</v>
      </c>
      <c r="AW19" s="1082">
        <v>0</v>
      </c>
    </row>
    <row r="20" spans="1:49" ht="14.25" hidden="1" customHeight="1">
      <c r="AG20" s="1287"/>
      <c r="AH20" s="1287"/>
      <c r="AI20" s="1287"/>
      <c r="AJ20" s="1287"/>
      <c r="AK20" s="1288"/>
      <c r="AL20" s="2249"/>
      <c r="AM20" s="2248"/>
      <c r="AN20" s="2249"/>
      <c r="AO20" s="2248"/>
      <c r="AW20" s="1082">
        <v>0</v>
      </c>
    </row>
    <row r="21" spans="1:49" ht="14.25" hidden="1" customHeight="1">
      <c r="AG21" s="1287"/>
      <c r="AH21" s="1287"/>
      <c r="AI21" s="1287"/>
      <c r="AJ21" s="1287"/>
      <c r="AK21" s="1288"/>
      <c r="AL21" s="2249"/>
      <c r="AM21" s="2248"/>
      <c r="AN21" s="2249"/>
      <c r="AO21" s="2248"/>
      <c r="AW21" s="1082">
        <v>0</v>
      </c>
    </row>
    <row r="22" spans="1:49" ht="14.25" hidden="1" customHeight="1">
      <c r="AG22" s="1287"/>
      <c r="AH22" s="1287"/>
      <c r="AI22" s="1287"/>
      <c r="AJ22" s="1287"/>
      <c r="AK22" s="266" t="str">
        <f>AL19&amp;"-"&amp;AN19</f>
        <v>-</v>
      </c>
      <c r="AL22" s="2248"/>
      <c r="AM22" s="2248"/>
      <c r="AN22" s="2248"/>
      <c r="AO22" s="2248"/>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3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2"/>
      <c r="W30" s="2232"/>
      <c r="X30" s="2232"/>
      <c r="Y30" s="2232"/>
      <c r="Z30" s="2232"/>
      <c r="AA30" s="2232"/>
      <c r="AB30" s="2232"/>
      <c r="AC30" s="2232"/>
      <c r="AD30" s="2232"/>
      <c r="AE30" s="2232"/>
      <c r="AF30" s="2232"/>
      <c r="AG30" s="2232"/>
      <c r="AH30" s="2232"/>
      <c r="AI30" s="2232"/>
      <c r="AJ30" s="2232"/>
      <c r="AK30" s="2232"/>
      <c r="AL30" s="2232"/>
      <c r="AM30" s="2232"/>
      <c r="AN30" s="2232"/>
      <c r="AO30" s="1170"/>
      <c r="AW30" s="1082">
        <v>54</v>
      </c>
    </row>
    <row r="31" spans="1:49" ht="14.65" customHeight="1">
      <c r="R31" s="313"/>
      <c r="S31" s="313"/>
      <c r="T31" s="313"/>
      <c r="U31" s="2204" t="str">
        <f>IF(org=0,"Не определено",org)</f>
        <v>ООО ПКФ "Энергетик-2001"</v>
      </c>
      <c r="V31" s="2204"/>
      <c r="W31" s="2204"/>
      <c r="X31" s="2204"/>
      <c r="Y31" s="2204"/>
      <c r="Z31" s="2204"/>
      <c r="AA31" s="2204"/>
      <c r="AB31" s="2204"/>
      <c r="AC31" s="2204"/>
      <c r="AD31" s="2204"/>
      <c r="AE31" s="2204"/>
      <c r="AF31" s="2204"/>
      <c r="AG31" s="2204"/>
      <c r="AH31" s="2204"/>
      <c r="AI31" s="2204"/>
      <c r="AJ31" s="2204"/>
      <c r="AK31" s="2204"/>
      <c r="AL31" s="2204"/>
      <c r="AM31" s="2204"/>
      <c r="AN31" s="2204"/>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42" t="s">
        <v>42</v>
      </c>
      <c r="V33" s="2242"/>
      <c r="W33" s="1299"/>
      <c r="X33" s="2244" t="str">
        <f>IF(TITLE_NAME_OR_PR_CHANGE="",IF(TITLE_NAME_OR_PR="","",TITLE_NAME_OR_PR),TITLE_NAME_OR_PR_CHANGE)</f>
        <v/>
      </c>
      <c r="Y33" s="2244"/>
      <c r="Z33" s="2244"/>
      <c r="AA33" s="2244"/>
      <c r="AB33" s="2244"/>
      <c r="AC33" s="2244"/>
      <c r="AD33" s="2244"/>
      <c r="AE33" s="2244"/>
      <c r="AF33" s="264"/>
      <c r="AG33" s="2244" t="str">
        <f>IF(TITLE_NAME_OR_PR_CHANGE="",IF(TITLE_NAME_OR_PR="","",TITLE_NAME_OR_PR),TITLE_NAME_OR_PR_CHANGE)</f>
        <v/>
      </c>
      <c r="AH33" s="2244"/>
      <c r="AI33" s="2244"/>
      <c r="AJ33" s="2244"/>
      <c r="AK33" s="2244"/>
      <c r="AL33" s="2244"/>
      <c r="AM33" s="2244"/>
      <c r="AN33" s="2244"/>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42" t="s">
        <v>426</v>
      </c>
      <c r="V34" s="2242"/>
      <c r="W34" s="1299"/>
      <c r="X34" s="2243">
        <f>IF(TITLE_DATE_PR_CHANGE="",IF(TITLE_DATE_PR="","",TITLE_DATE_PR),TITLE_DATE_PR_CHANGE)</f>
        <v>45777</v>
      </c>
      <c r="Y34" s="2243"/>
      <c r="Z34" s="2243"/>
      <c r="AA34" s="2243"/>
      <c r="AB34" s="2243"/>
      <c r="AC34" s="2243"/>
      <c r="AD34" s="2243"/>
      <c r="AE34" s="2243"/>
      <c r="AF34" s="264"/>
      <c r="AG34" s="2243">
        <f>IF(TITLE_DATE_PR_CHANGE="",IF(TITLE_DATE_PR="","",TITLE_DATE_PR),TITLE_DATE_PR_CHANGE)</f>
        <v>45777</v>
      </c>
      <c r="AH34" s="2243"/>
      <c r="AI34" s="2243"/>
      <c r="AJ34" s="2243"/>
      <c r="AK34" s="2243"/>
      <c r="AL34" s="2243"/>
      <c r="AM34" s="2243"/>
      <c r="AN34" s="2243"/>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42" t="s">
        <v>427</v>
      </c>
      <c r="V35" s="2242"/>
      <c r="W35" s="1299"/>
      <c r="X35" s="2244" t="str">
        <f>IF(TITLE_NUMBER_PR_CHANGE="",IF(TITLE_NUMBER_PR="","",TITLE_NUMBER_PR),TITLE_NUMBER_PR_CHANGE)</f>
        <v>466</v>
      </c>
      <c r="Y35" s="2244"/>
      <c r="Z35" s="2244"/>
      <c r="AA35" s="2244"/>
      <c r="AB35" s="2244"/>
      <c r="AC35" s="2244"/>
      <c r="AD35" s="2244"/>
      <c r="AE35" s="2244"/>
      <c r="AF35" s="264"/>
      <c r="AG35" s="2244" t="str">
        <f>IF(TITLE_NUMBER_PR_CHANGE="",IF(TITLE_NUMBER_PR="","",TITLE_NUMBER_PR),TITLE_NUMBER_PR_CHANGE)</f>
        <v>466</v>
      </c>
      <c r="AH35" s="2244"/>
      <c r="AI35" s="2244"/>
      <c r="AJ35" s="2244"/>
      <c r="AK35" s="2244"/>
      <c r="AL35" s="2244"/>
      <c r="AM35" s="2244"/>
      <c r="AN35" s="2244"/>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42" t="s">
        <v>43</v>
      </c>
      <c r="V36" s="2242"/>
      <c r="W36" s="1299"/>
      <c r="X36" s="2244" t="str">
        <f>IF(TITLE_IST_PUB_CHANGE="",IF(TITLE_IST_PUB="","",TITLE_IST_PUB),TITLE_IST_PUB_CHANGE)</f>
        <v/>
      </c>
      <c r="Y36" s="2244"/>
      <c r="Z36" s="2244"/>
      <c r="AA36" s="2244"/>
      <c r="AB36" s="2244"/>
      <c r="AC36" s="2244"/>
      <c r="AD36" s="2244"/>
      <c r="AE36" s="2244"/>
      <c r="AF36" s="264"/>
      <c r="AG36" s="2244" t="str">
        <f>IF(TITLE_IST_PUB_CHANGE="",IF(TITLE_IST_PUB="","",TITLE_IST_PUB),TITLE_IST_PUB_CHANGE)</f>
        <v/>
      </c>
      <c r="AH36" s="2244"/>
      <c r="AI36" s="2244"/>
      <c r="AJ36" s="2244"/>
      <c r="AK36" s="2244"/>
      <c r="AL36" s="2244"/>
      <c r="AM36" s="2244"/>
      <c r="AN36" s="2244"/>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42" t="s">
        <v>428</v>
      </c>
      <c r="V38" s="2242"/>
      <c r="W38" s="1299"/>
      <c r="X38" s="2243">
        <f>IF(TITLE_DATE_PR_CHANGE="",IF(TITLE_DATE_PR="","",TITLE_DATE_PR),TITLE_DATE_PR_CHANGE)</f>
        <v>45777</v>
      </c>
      <c r="Y38" s="2243"/>
      <c r="Z38" s="2243"/>
      <c r="AA38" s="2243"/>
      <c r="AB38" s="2243"/>
      <c r="AC38" s="2243"/>
      <c r="AD38" s="2243"/>
      <c r="AE38" s="2243"/>
      <c r="AF38" s="264"/>
      <c r="AG38" s="2243">
        <f>IF(TITLE_DATE_PR_CHANGE="",IF(TITLE_DATE_PR="","",TITLE_DATE_PR),TITLE_DATE_PR_CHANGE)</f>
        <v>45777</v>
      </c>
      <c r="AH38" s="2243"/>
      <c r="AI38" s="2243"/>
      <c r="AJ38" s="2243"/>
      <c r="AK38" s="2243"/>
      <c r="AL38" s="2243"/>
      <c r="AM38" s="2243"/>
      <c r="AN38" s="2243"/>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42" t="s">
        <v>429</v>
      </c>
      <c r="V39" s="2242"/>
      <c r="W39" s="1299"/>
      <c r="X39" s="2244" t="str">
        <f>IF(TITLE_NUMBER_PR_CHANGE="",IF(TITLE_NUMBER_PR="","",TITLE_NUMBER_PR),TITLE_NUMBER_PR_CHANGE)</f>
        <v>466</v>
      </c>
      <c r="Y39" s="2244"/>
      <c r="Z39" s="2244"/>
      <c r="AA39" s="2244"/>
      <c r="AB39" s="2244"/>
      <c r="AC39" s="2244"/>
      <c r="AD39" s="2244"/>
      <c r="AE39" s="2244"/>
      <c r="AF39" s="264"/>
      <c r="AG39" s="2244" t="str">
        <f>IF(TITLE_NUMBER_PR_CHANGE="",IF(TITLE_NUMBER_PR="","",TITLE_NUMBER_PR),TITLE_NUMBER_PR_CHANGE)</f>
        <v>466</v>
      </c>
      <c r="AH39" s="2244"/>
      <c r="AI39" s="2244"/>
      <c r="AJ39" s="2244"/>
      <c r="AK39" s="2244"/>
      <c r="AL39" s="2244"/>
      <c r="AM39" s="2244"/>
      <c r="AN39" s="2244"/>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63"/>
      <c r="Y41" s="2263"/>
      <c r="Z41" s="2263"/>
      <c r="AA41" s="2263"/>
      <c r="AB41" s="2263"/>
      <c r="AC41" s="2263"/>
      <c r="AD41" s="2263"/>
      <c r="AE41" s="2263"/>
      <c r="AF41" s="2263"/>
      <c r="AG41" s="2263"/>
      <c r="AH41" s="2263"/>
      <c r="AI41" s="2263"/>
      <c r="AJ41" s="2263"/>
      <c r="AK41" s="2263"/>
      <c r="AL41" s="2263"/>
      <c r="AM41" s="2263"/>
      <c r="AN41" s="2263"/>
      <c r="AO41" s="2263"/>
      <c r="AW41" s="1082">
        <v>14</v>
      </c>
    </row>
    <row r="42" spans="1:49" ht="14.65" customHeight="1">
      <c r="R42" s="313"/>
      <c r="S42" s="313"/>
      <c r="T42" s="313"/>
      <c r="U42" s="2116" t="s">
        <v>306</v>
      </c>
      <c r="V42" s="2116"/>
      <c r="W42" s="2116"/>
      <c r="X42" s="2116"/>
      <c r="Y42" s="2116"/>
      <c r="Z42" s="2116"/>
      <c r="AA42" s="2116"/>
      <c r="AB42" s="2116"/>
      <c r="AC42" s="2116"/>
      <c r="AD42" s="2116"/>
      <c r="AE42" s="2116"/>
      <c r="AF42" s="2116"/>
      <c r="AG42" s="2116"/>
      <c r="AH42" s="2116"/>
      <c r="AI42" s="2116"/>
      <c r="AJ42" s="2116"/>
      <c r="AK42" s="2116"/>
      <c r="AL42" s="2116"/>
      <c r="AM42" s="2116"/>
      <c r="AN42" s="2116"/>
      <c r="AO42" s="2116"/>
      <c r="AP42" s="2116"/>
      <c r="AQ42" s="2116" t="s">
        <v>307</v>
      </c>
      <c r="AW42" s="1082">
        <v>14</v>
      </c>
    </row>
    <row r="43" spans="1:49" ht="14.65" customHeight="1">
      <c r="R43" s="313"/>
      <c r="S43" s="313"/>
      <c r="T43" s="313"/>
      <c r="U43" s="2264" t="s">
        <v>88</v>
      </c>
      <c r="V43" s="2212" t="s">
        <v>431</v>
      </c>
      <c r="W43" s="239"/>
      <c r="X43" s="2265" t="s">
        <v>432</v>
      </c>
      <c r="Y43" s="2290"/>
      <c r="Z43" s="2290"/>
      <c r="AA43" s="2290"/>
      <c r="AB43" s="2290"/>
      <c r="AC43" s="2266"/>
      <c r="AD43" s="2266"/>
      <c r="AE43" s="2267"/>
      <c r="AF43" s="2268" t="s">
        <v>433</v>
      </c>
      <c r="AG43" s="2265" t="s">
        <v>432</v>
      </c>
      <c r="AH43" s="2290"/>
      <c r="AI43" s="2290"/>
      <c r="AJ43" s="2290"/>
      <c r="AK43" s="2290"/>
      <c r="AL43" s="2266"/>
      <c r="AM43" s="2266"/>
      <c r="AN43" s="2267"/>
      <c r="AO43" s="2268" t="s">
        <v>434</v>
      </c>
      <c r="AP43" s="2271" t="s">
        <v>435</v>
      </c>
      <c r="AQ43" s="2116"/>
      <c r="AW43" s="1082">
        <v>14</v>
      </c>
    </row>
    <row r="44" spans="1:49" ht="35.65" customHeight="1">
      <c r="R44" s="313"/>
      <c r="S44" s="313"/>
      <c r="T44" s="313"/>
      <c r="U44" s="2264"/>
      <c r="V44" s="2212"/>
      <c r="W44" s="961"/>
      <c r="X44" s="2185" t="s">
        <v>460</v>
      </c>
      <c r="Y44" s="2116" t="s">
        <v>461</v>
      </c>
      <c r="Z44" s="2116"/>
      <c r="AA44" s="2116"/>
      <c r="AB44" s="2116"/>
      <c r="AC44" s="2185" t="s">
        <v>439</v>
      </c>
      <c r="AD44" s="2302"/>
      <c r="AE44" s="2186"/>
      <c r="AF44" s="2269"/>
      <c r="AG44" s="2185" t="s">
        <v>460</v>
      </c>
      <c r="AH44" s="2116" t="s">
        <v>461</v>
      </c>
      <c r="AI44" s="2116"/>
      <c r="AJ44" s="2116"/>
      <c r="AK44" s="2116"/>
      <c r="AL44" s="2185" t="s">
        <v>439</v>
      </c>
      <c r="AM44" s="2302"/>
      <c r="AN44" s="2186"/>
      <c r="AO44" s="2269"/>
      <c r="AP44" s="2272"/>
      <c r="AQ44" s="2116"/>
      <c r="AW44" s="1082">
        <v>34</v>
      </c>
    </row>
    <row r="45" spans="1:49" ht="14.65" customHeight="1">
      <c r="R45" s="313"/>
      <c r="S45" s="313"/>
      <c r="T45" s="313"/>
      <c r="U45" s="2264"/>
      <c r="V45" s="2212"/>
      <c r="W45" s="961"/>
      <c r="X45" s="2187"/>
      <c r="Y45" s="2218" t="s">
        <v>462</v>
      </c>
      <c r="Z45" s="2217" t="s">
        <v>463</v>
      </c>
      <c r="AA45" s="2230"/>
      <c r="AB45" s="2231"/>
      <c r="AC45" s="2190"/>
      <c r="AD45" s="2303"/>
      <c r="AE45" s="2191"/>
      <c r="AF45" s="2269"/>
      <c r="AG45" s="2187"/>
      <c r="AH45" s="2218" t="s">
        <v>462</v>
      </c>
      <c r="AI45" s="2217" t="s">
        <v>463</v>
      </c>
      <c r="AJ45" s="2230"/>
      <c r="AK45" s="2231"/>
      <c r="AL45" s="2190"/>
      <c r="AM45" s="2303"/>
      <c r="AN45" s="2191"/>
      <c r="AO45" s="2269"/>
      <c r="AP45" s="2272"/>
      <c r="AQ45" s="2116"/>
      <c r="AW45" s="1082">
        <v>14</v>
      </c>
    </row>
    <row r="46" spans="1:49" ht="27.4" customHeight="1">
      <c r="R46" s="313"/>
      <c r="S46" s="313"/>
      <c r="T46" s="313"/>
      <c r="U46" s="2264"/>
      <c r="V46" s="2212"/>
      <c r="W46" s="961"/>
      <c r="X46" s="2187"/>
      <c r="Y46" s="2301"/>
      <c r="Z46" s="2218" t="s">
        <v>464</v>
      </c>
      <c r="AA46" s="2217" t="s">
        <v>465</v>
      </c>
      <c r="AB46" s="2231"/>
      <c r="AC46" s="2218" t="s">
        <v>449</v>
      </c>
      <c r="AD46" s="2222" t="s">
        <v>450</v>
      </c>
      <c r="AE46" s="2220"/>
      <c r="AF46" s="2269"/>
      <c r="AG46" s="2187"/>
      <c r="AH46" s="2301"/>
      <c r="AI46" s="2218" t="s">
        <v>464</v>
      </c>
      <c r="AJ46" s="2217" t="s">
        <v>465</v>
      </c>
      <c r="AK46" s="2231"/>
      <c r="AL46" s="2218" t="s">
        <v>449</v>
      </c>
      <c r="AM46" s="2222" t="s">
        <v>450</v>
      </c>
      <c r="AN46" s="2220"/>
      <c r="AO46" s="2269"/>
      <c r="AP46" s="2272"/>
      <c r="AQ46" s="2116"/>
      <c r="AW46" s="1082">
        <v>26</v>
      </c>
    </row>
    <row r="47" spans="1:49" ht="65.25" customHeight="1">
      <c r="A47" s="1186"/>
      <c r="B47" s="1186" t="s">
        <v>136</v>
      </c>
      <c r="C47" s="1186" t="s">
        <v>137</v>
      </c>
      <c r="D47" s="1186" t="s">
        <v>138</v>
      </c>
      <c r="E47" s="1237" t="s">
        <v>440</v>
      </c>
      <c r="F47" s="1237" t="s">
        <v>441</v>
      </c>
      <c r="G47" s="1237" t="s">
        <v>442</v>
      </c>
      <c r="H47" s="1237" t="s">
        <v>443</v>
      </c>
      <c r="I47" s="1237" t="s">
        <v>444</v>
      </c>
      <c r="J47" s="1237" t="s">
        <v>445</v>
      </c>
      <c r="K47" s="1237" t="s">
        <v>446</v>
      </c>
      <c r="L47" s="1237" t="s">
        <v>466</v>
      </c>
      <c r="M47" s="1237" t="s">
        <v>421</v>
      </c>
      <c r="R47" s="313"/>
      <c r="S47" s="313"/>
      <c r="T47" s="313"/>
      <c r="U47" s="2264"/>
      <c r="V47" s="2212"/>
      <c r="W47" s="240"/>
      <c r="X47" s="2190"/>
      <c r="Y47" s="2219"/>
      <c r="Z47" s="2219"/>
      <c r="AA47" s="1149" t="s">
        <v>467</v>
      </c>
      <c r="AB47" s="1149" t="s">
        <v>468</v>
      </c>
      <c r="AC47" s="2219"/>
      <c r="AD47" s="2223"/>
      <c r="AE47" s="2221"/>
      <c r="AF47" s="2270"/>
      <c r="AG47" s="2190"/>
      <c r="AH47" s="2219"/>
      <c r="AI47" s="2219"/>
      <c r="AJ47" s="1149" t="s">
        <v>467</v>
      </c>
      <c r="AK47" s="1149" t="s">
        <v>468</v>
      </c>
      <c r="AL47" s="2219"/>
      <c r="AM47" s="2223"/>
      <c r="AN47" s="2221"/>
      <c r="AO47" s="2270"/>
      <c r="AP47" s="2273"/>
      <c r="AQ47" s="2116"/>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62">
        <f ca="1">OFFSET(AD48,0,-1)+1</f>
        <v>4</v>
      </c>
      <c r="AE48" s="2262"/>
      <c r="AF48" s="1262">
        <f ca="1">OFFSET(AF48,0,-2)+1</f>
        <v>5</v>
      </c>
      <c r="AG48" s="1262">
        <f ca="1">OFFSET(AG48,0,-1)+1</f>
        <v>6</v>
      </c>
      <c r="AH48" s="1262"/>
      <c r="AI48" s="1262"/>
      <c r="AJ48" s="1262">
        <f ca="1">OFFSET(AJ48,0,-1)+1</f>
        <v>1</v>
      </c>
      <c r="AK48" s="1262">
        <f ca="1">OFFSET(AK48,0,-1)+1</f>
        <v>2</v>
      </c>
      <c r="AL48" s="1262">
        <f ca="1">OFFSET(AL48,0,-1)+1</f>
        <v>3</v>
      </c>
      <c r="AM48" s="2262">
        <f ca="1">OFFSET(AM48,0,-1)+1</f>
        <v>4</v>
      </c>
      <c r="AN48" s="2262"/>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28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287"/>
      <c r="F50" s="228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185" t="s">
        <v>404</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287"/>
      <c r="F51" s="2287"/>
      <c r="G51" s="2286">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185" t="s">
        <v>406</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287"/>
      <c r="F52" s="2287"/>
      <c r="G52" s="2287"/>
      <c r="H52" s="2286">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185" t="s">
        <v>408</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287"/>
      <c r="F53" s="2287"/>
      <c r="G53" s="2287"/>
      <c r="H53" s="2287"/>
      <c r="I53" s="2116" t="str">
        <f>U52&amp;".1"</f>
        <v>....1</v>
      </c>
      <c r="J53" s="1302"/>
      <c r="K53" s="1302"/>
      <c r="L53" s="1302"/>
      <c r="M53" s="1308" t="s">
        <v>409</v>
      </c>
      <c r="N53" s="1173"/>
      <c r="O53" s="1173"/>
      <c r="P53" s="1173"/>
      <c r="Q53" s="2255">
        <v>1</v>
      </c>
      <c r="R53" s="1258"/>
      <c r="S53" s="1258"/>
      <c r="T53" s="293"/>
      <c r="U53" s="972"/>
      <c r="V53" s="1310"/>
      <c r="W53" s="1311"/>
      <c r="X53" s="2291"/>
      <c r="Y53" s="2292"/>
      <c r="Z53" s="2292"/>
      <c r="AA53" s="2292"/>
      <c r="AB53" s="2292"/>
      <c r="AC53" s="2292"/>
      <c r="AD53" s="2292"/>
      <c r="AE53" s="2292"/>
      <c r="AF53" s="2293"/>
      <c r="AG53" s="2291"/>
      <c r="AH53" s="2292"/>
      <c r="AI53" s="2292"/>
      <c r="AJ53" s="2292"/>
      <c r="AK53" s="2292"/>
      <c r="AL53" s="2292"/>
      <c r="AM53" s="2292"/>
      <c r="AN53" s="2292"/>
      <c r="AO53" s="2292"/>
      <c r="AP53" s="2293"/>
      <c r="AQ53" s="1312"/>
      <c r="AS53" s="437"/>
      <c r="AT53" s="437" t="str">
        <f t="shared" si="2"/>
        <v/>
      </c>
      <c r="AU53" s="437"/>
      <c r="AV53" s="437"/>
      <c r="AW53" s="448">
        <v>0</v>
      </c>
    </row>
    <row r="54" spans="1:49" ht="21.95" customHeight="1">
      <c r="A54" s="1194" t="s">
        <v>181</v>
      </c>
      <c r="B54" s="1194" t="s">
        <v>182</v>
      </c>
      <c r="C54" s="1194" t="s">
        <v>183</v>
      </c>
      <c r="D54" s="1194" t="s">
        <v>184</v>
      </c>
      <c r="E54" s="2287"/>
      <c r="F54" s="2287"/>
      <c r="G54" s="2287"/>
      <c r="H54" s="2287"/>
      <c r="I54" s="2098"/>
      <c r="J54" s="2116" t="str">
        <f>I53&amp;".1"</f>
        <v>....1.1</v>
      </c>
      <c r="K54" s="1194"/>
      <c r="L54" s="1194"/>
      <c r="M54" s="1237" t="s">
        <v>412</v>
      </c>
      <c r="Q54" s="2255"/>
      <c r="R54" s="2255">
        <v>1</v>
      </c>
      <c r="S54" s="455"/>
      <c r="T54" s="294"/>
      <c r="U54" s="1263" t="str">
        <f>$J54</f>
        <v>....1.1</v>
      </c>
      <c r="V54" s="224" t="s">
        <v>413</v>
      </c>
      <c r="W54" s="238"/>
      <c r="X54" s="2239"/>
      <c r="Y54" s="2240"/>
      <c r="Z54" s="2240"/>
      <c r="AA54" s="2240"/>
      <c r="AB54" s="2240"/>
      <c r="AC54" s="2235"/>
      <c r="AD54" s="2235"/>
      <c r="AE54" s="2235"/>
      <c r="AF54" s="2304"/>
      <c r="AG54" s="2239"/>
      <c r="AH54" s="2240"/>
      <c r="AI54" s="2240"/>
      <c r="AJ54" s="2240"/>
      <c r="AK54" s="2240"/>
      <c r="AL54" s="2240"/>
      <c r="AM54" s="2240"/>
      <c r="AN54" s="2240"/>
      <c r="AO54" s="2240"/>
      <c r="AP54" s="2241"/>
      <c r="AQ54" s="1185" t="s">
        <v>414</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287"/>
      <c r="F55" s="2287"/>
      <c r="G55" s="2287"/>
      <c r="H55" s="2287"/>
      <c r="I55" s="2098"/>
      <c r="J55" s="2098"/>
      <c r="K55" s="2116" t="str">
        <f>J54&amp;".1"</f>
        <v>....1.1.1</v>
      </c>
      <c r="L55" s="78"/>
      <c r="M55" s="1237" t="s">
        <v>415</v>
      </c>
      <c r="Q55" s="2255"/>
      <c r="R55" s="2255"/>
      <c r="S55" s="455">
        <v>1</v>
      </c>
      <c r="T55" s="294"/>
      <c r="U55" s="1263" t="str">
        <f>$K55</f>
        <v>....1.1.1</v>
      </c>
      <c r="V55" s="1274"/>
      <c r="W55" s="238"/>
      <c r="X55" s="688"/>
      <c r="Y55" s="688"/>
      <c r="Z55" s="688"/>
      <c r="AA55" s="688"/>
      <c r="AB55" s="1332"/>
      <c r="AC55" s="2256"/>
      <c r="AD55" s="2126" t="s">
        <v>66</v>
      </c>
      <c r="AE55" s="2256"/>
      <c r="AF55" s="2126" t="s">
        <v>66</v>
      </c>
      <c r="AG55" s="1334"/>
      <c r="AH55" s="688"/>
      <c r="AI55" s="688"/>
      <c r="AJ55" s="688"/>
      <c r="AK55" s="1184"/>
      <c r="AL55" s="2256"/>
      <c r="AM55" s="2126" t="s">
        <v>66</v>
      </c>
      <c r="AN55" s="2256"/>
      <c r="AO55" s="2126" t="s">
        <v>66</v>
      </c>
      <c r="AP55" s="1275"/>
      <c r="AQ55" s="1234" t="s">
        <v>457</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287"/>
      <c r="F56" s="2287"/>
      <c r="G56" s="2287"/>
      <c r="H56" s="2287"/>
      <c r="I56" s="2098"/>
      <c r="J56" s="2098"/>
      <c r="K56" s="2098"/>
      <c r="L56" s="2116" t="str">
        <f>K55&amp;".1"</f>
        <v>....1.1.1.1</v>
      </c>
      <c r="M56" s="1237"/>
      <c r="Q56" s="2255"/>
      <c r="R56" s="2255"/>
      <c r="S56" s="455">
        <v>1</v>
      </c>
      <c r="T56" s="294"/>
      <c r="U56" s="1263" t="str">
        <f>$L56</f>
        <v>....1.1.1.1</v>
      </c>
      <c r="V56" s="1318"/>
      <c r="W56" s="238"/>
      <c r="X56" s="263"/>
      <c r="Y56" s="688"/>
      <c r="Z56" s="688"/>
      <c r="AA56" s="688"/>
      <c r="AB56" s="1332"/>
      <c r="AC56" s="2257"/>
      <c r="AD56" s="2126"/>
      <c r="AE56" s="2257"/>
      <c r="AF56" s="2126"/>
      <c r="AG56" s="1334"/>
      <c r="AH56" s="688"/>
      <c r="AI56" s="688"/>
      <c r="AJ56" s="688"/>
      <c r="AK56" s="1184"/>
      <c r="AL56" s="2257"/>
      <c r="AM56" s="2126"/>
      <c r="AN56" s="2257"/>
      <c r="AO56" s="2126"/>
      <c r="AP56" s="1275"/>
      <c r="AQ56" s="2274" t="s">
        <v>458</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287"/>
      <c r="F57" s="2287"/>
      <c r="G57" s="2287"/>
      <c r="H57" s="2287"/>
      <c r="I57" s="2098"/>
      <c r="J57" s="2098"/>
      <c r="K57" s="2098"/>
      <c r="L57" s="2116"/>
      <c r="M57" s="1237"/>
      <c r="Q57" s="2255"/>
      <c r="R57" s="2255"/>
      <c r="S57" s="455"/>
      <c r="T57" s="294"/>
      <c r="U57" s="1269"/>
      <c r="V57" s="238"/>
      <c r="W57" s="238"/>
      <c r="X57" s="263"/>
      <c r="Y57" s="263"/>
      <c r="Z57" s="263"/>
      <c r="AA57" s="263"/>
      <c r="AB57" s="1333" t="str">
        <f>AC55&amp;"-"&amp;AE55</f>
        <v>-</v>
      </c>
      <c r="AC57" s="2257"/>
      <c r="AD57" s="2126"/>
      <c r="AE57" s="2257"/>
      <c r="AF57" s="2126"/>
      <c r="AG57" s="1309"/>
      <c r="AH57" s="263"/>
      <c r="AI57" s="263"/>
      <c r="AJ57" s="263"/>
      <c r="AK57" s="266" t="str">
        <f>AL55&amp;"-"&amp;AN55</f>
        <v>-</v>
      </c>
      <c r="AL57" s="2257"/>
      <c r="AM57" s="2126"/>
      <c r="AN57" s="2257"/>
      <c r="AO57" s="2126"/>
      <c r="AP57" s="1276"/>
      <c r="AQ57" s="2275"/>
      <c r="AS57" s="437"/>
      <c r="AT57" s="437" t="str">
        <f t="shared" si="2"/>
        <v/>
      </c>
      <c r="AU57" s="437"/>
      <c r="AV57" s="437"/>
      <c r="AW57" s="1082">
        <v>0</v>
      </c>
    </row>
    <row r="58" spans="1:49" ht="11.45" customHeight="1">
      <c r="A58" s="1194" t="s">
        <v>181</v>
      </c>
      <c r="B58" s="1194" t="s">
        <v>182</v>
      </c>
      <c r="C58" s="1194" t="s">
        <v>183</v>
      </c>
      <c r="D58" s="1194" t="s">
        <v>184</v>
      </c>
      <c r="E58" s="2287"/>
      <c r="F58" s="2287"/>
      <c r="G58" s="2287"/>
      <c r="H58" s="2287"/>
      <c r="I58" s="2098"/>
      <c r="J58" s="2098"/>
      <c r="K58" s="2116"/>
      <c r="L58" s="1194"/>
      <c r="M58" s="1237"/>
      <c r="Q58" s="2255"/>
      <c r="R58" s="2255"/>
      <c r="S58" s="1258"/>
      <c r="T58" s="293"/>
      <c r="U58" s="1205"/>
      <c r="V58" s="226" t="s">
        <v>459</v>
      </c>
      <c r="W58" s="304"/>
      <c r="X58" s="304"/>
      <c r="Y58" s="304"/>
      <c r="Z58" s="304"/>
      <c r="AA58" s="304"/>
      <c r="AB58" s="304"/>
      <c r="AC58" s="2257"/>
      <c r="AD58" s="2126"/>
      <c r="AE58" s="2257"/>
      <c r="AF58" s="2126"/>
      <c r="AG58" s="304"/>
      <c r="AH58" s="304"/>
      <c r="AI58" s="304"/>
      <c r="AJ58" s="304"/>
      <c r="AK58" s="304"/>
      <c r="AL58" s="2257"/>
      <c r="AM58" s="2126"/>
      <c r="AN58" s="2257"/>
      <c r="AO58" s="2126"/>
      <c r="AP58" s="262"/>
      <c r="AQ58" s="2275"/>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287"/>
      <c r="F59" s="2287"/>
      <c r="G59" s="2287"/>
      <c r="H59" s="2287"/>
      <c r="I59" s="2098"/>
      <c r="J59" s="2116"/>
      <c r="K59" s="1194"/>
      <c r="L59" s="1194"/>
      <c r="M59" s="1237"/>
      <c r="Q59" s="2255"/>
      <c r="R59" s="2255"/>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76"/>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287"/>
      <c r="F60" s="2287"/>
      <c r="G60" s="2287"/>
      <c r="H60" s="2287"/>
      <c r="I60" s="2116"/>
      <c r="J60" s="1194"/>
      <c r="K60" s="1194"/>
      <c r="L60" s="1194"/>
      <c r="M60" s="1237"/>
      <c r="Q60" s="2255"/>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287"/>
      <c r="F61" s="2287"/>
      <c r="G61" s="2287"/>
      <c r="H61" s="228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287"/>
      <c r="F62" s="2287"/>
      <c r="G62" s="2286"/>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287"/>
      <c r="F63" s="2286"/>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286"/>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W67" s="1082">
        <v>34</v>
      </c>
    </row>
    <row r="68" spans="1:49" ht="21" customHeight="1">
      <c r="P68" s="446"/>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W68" s="1082">
        <v>20</v>
      </c>
    </row>
    <row r="69" spans="1:49" ht="14.65" customHeight="1">
      <c r="P69" s="446"/>
      <c r="AW69" s="1082">
        <v>14</v>
      </c>
    </row>
    <row r="70" spans="1:49" ht="28.5" customHeight="1">
      <c r="P70" s="446"/>
      <c r="V70" s="2250"/>
      <c r="W70" s="2250"/>
      <c r="X70" s="2250"/>
      <c r="Y70" s="2250"/>
      <c r="Z70" s="2250"/>
      <c r="AA70" s="2250"/>
      <c r="AB70" s="2250"/>
      <c r="AC70" s="2250"/>
      <c r="AD70" s="2250"/>
      <c r="AE70" s="2250"/>
      <c r="AF70" s="2250"/>
      <c r="AG70" s="2250"/>
      <c r="AH70" s="2250"/>
      <c r="AI70" s="2250"/>
      <c r="AJ70" s="2250"/>
      <c r="AK70" s="2250"/>
      <c r="AL70" s="2250"/>
      <c r="AM70" s="2250"/>
      <c r="AN70" s="2250"/>
      <c r="AO70" s="2250"/>
      <c r="AP70" s="2250"/>
      <c r="AQ70" s="2250"/>
      <c r="AW70" s="1082">
        <v>27</v>
      </c>
    </row>
    <row r="71" spans="1:49" ht="18.75" customHeight="1">
      <c r="P71" s="446"/>
      <c r="V71" s="2250"/>
      <c r="W71" s="2250"/>
      <c r="X71" s="2250"/>
      <c r="Y71" s="2250"/>
      <c r="Z71" s="2250"/>
      <c r="AA71" s="2250"/>
      <c r="AB71" s="2250"/>
      <c r="AC71" s="2250"/>
      <c r="AD71" s="2250"/>
      <c r="AE71" s="2250"/>
      <c r="AF71" s="2250"/>
      <c r="AG71" s="2250"/>
      <c r="AH71" s="2250"/>
      <c r="AI71" s="2250"/>
      <c r="AJ71" s="2250"/>
      <c r="AK71" s="2250"/>
      <c r="AL71" s="2250"/>
      <c r="AM71" s="2250"/>
      <c r="AN71" s="2250"/>
      <c r="AO71" s="2250"/>
      <c r="AP71" s="2250"/>
      <c r="AQ71" s="2250"/>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1" sqref="F7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97"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98"/>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00" t="s">
        <v>20</v>
      </c>
      <c r="D11" s="15"/>
      <c r="E11" s="1092" t="s">
        <v>21</v>
      </c>
      <c r="F11" s="1658">
        <v>45292.475995370369</v>
      </c>
      <c r="G11" s="17"/>
      <c r="H11" s="705" t="s">
        <v>22</v>
      </c>
      <c r="J11" s="807" t="s">
        <v>23</v>
      </c>
      <c r="Q11" s="14">
        <v>0</v>
      </c>
    </row>
    <row r="12" spans="1:17" ht="22.5" customHeight="1">
      <c r="A12" s="2100"/>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13" t="s">
        <v>37</v>
      </c>
      <c r="G17" s="13"/>
      <c r="H17" s="705" t="s">
        <v>22</v>
      </c>
      <c r="Q17" s="14">
        <v>20</v>
      </c>
    </row>
    <row r="18" spans="1:17" ht="25.5" hidden="1" customHeight="1">
      <c r="D18" s="15"/>
      <c r="E18" s="1701" t="s">
        <v>38</v>
      </c>
      <c r="F18" s="1659"/>
      <c r="G18" s="13"/>
      <c r="I18" s="706"/>
      <c r="J18" s="2099"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99"/>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45777</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30"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80"/>
  <sheetViews>
    <sheetView showGridLines="0" topLeftCell="P26" zoomScale="90" workbookViewId="0">
      <selection activeCell="T74" sqref="T74:AU74"/>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51">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46"/>
      <c r="W2" s="2246"/>
      <c r="X2" s="2246"/>
      <c r="Y2" s="2246"/>
      <c r="Z2" s="2246"/>
      <c r="AA2" s="2247"/>
      <c r="AB2" s="2245" t="e">
        <f>INDEX(PT_DIFFERENTIATION_NTAR,MATCH(A2,PT_DIFFERENTIATION_NTAR_ID,0))</f>
        <v>#N/A</v>
      </c>
      <c r="AC2" s="2246"/>
      <c r="AD2" s="2246"/>
      <c r="AE2" s="2246"/>
      <c r="AF2" s="2246"/>
      <c r="AG2" s="2246"/>
      <c r="AH2" s="2246"/>
      <c r="AI2" s="2246"/>
      <c r="AJ2" s="2246"/>
      <c r="AK2" s="2246"/>
      <c r="AL2" s="2246"/>
      <c r="AM2" s="2246"/>
      <c r="AN2" s="2246"/>
      <c r="AO2" s="2246"/>
      <c r="AP2" s="2246"/>
      <c r="AQ2" s="2246"/>
      <c r="AR2" s="2246"/>
      <c r="AS2" s="2246"/>
      <c r="AT2" s="2247"/>
      <c r="AU2" s="1185" t="s">
        <v>402</v>
      </c>
      <c r="AW2" s="437"/>
      <c r="AX2" s="437" t="str">
        <f t="shared" ref="AX2:AX8" si="0">IF(T2="","",T2)</f>
        <v>Наименование тарифа</v>
      </c>
      <c r="AY2" s="437"/>
      <c r="AZ2" s="437"/>
      <c r="BA2" s="1082">
        <v>0</v>
      </c>
    </row>
    <row r="3" spans="1:53" ht="21" hidden="1" customHeight="1">
      <c r="A3" s="1290"/>
      <c r="B3" s="1290"/>
      <c r="C3" s="1290"/>
      <c r="D3" s="1290"/>
      <c r="E3" s="2252"/>
      <c r="F3" s="2251">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46"/>
      <c r="W3" s="2246"/>
      <c r="X3" s="2246"/>
      <c r="Y3" s="2246"/>
      <c r="Z3" s="2246"/>
      <c r="AA3" s="2247"/>
      <c r="AB3" s="2245" t="e">
        <f>INDEX(PT_DIFFERENTIATION_TER,MATCH(B3,PT_DIFFERENTIATION_TER_ID,0))</f>
        <v>#N/A</v>
      </c>
      <c r="AC3" s="2246"/>
      <c r="AD3" s="2246"/>
      <c r="AE3" s="2246"/>
      <c r="AF3" s="2246"/>
      <c r="AG3" s="2246"/>
      <c r="AH3" s="2246"/>
      <c r="AI3" s="2246"/>
      <c r="AJ3" s="2246"/>
      <c r="AK3" s="2246"/>
      <c r="AL3" s="2246"/>
      <c r="AM3" s="2246"/>
      <c r="AN3" s="2246"/>
      <c r="AO3" s="2246"/>
      <c r="AP3" s="2246"/>
      <c r="AQ3" s="2246"/>
      <c r="AR3" s="2246"/>
      <c r="AS3" s="2246"/>
      <c r="AT3" s="2247"/>
      <c r="AU3" s="1185" t="s">
        <v>404</v>
      </c>
      <c r="AW3" s="437"/>
      <c r="AX3" s="437" t="str">
        <f t="shared" si="0"/>
        <v>Территория действия тарифа</v>
      </c>
      <c r="AY3" s="437"/>
      <c r="AZ3" s="437"/>
      <c r="BA3" s="1082">
        <v>0</v>
      </c>
    </row>
    <row r="4" spans="1:53" ht="22.5" hidden="1" customHeight="1">
      <c r="A4" s="1290"/>
      <c r="B4" s="1290"/>
      <c r="C4" s="1290"/>
      <c r="D4" s="1290"/>
      <c r="E4" s="2252"/>
      <c r="F4" s="2252"/>
      <c r="G4" s="2251">
        <v>1</v>
      </c>
      <c r="H4" s="1290"/>
      <c r="I4" s="1290"/>
      <c r="J4" s="1290"/>
      <c r="K4" s="1290"/>
      <c r="L4" s="1291"/>
      <c r="M4" s="1292"/>
      <c r="N4" s="1292"/>
      <c r="O4" s="1292"/>
      <c r="P4" s="1339"/>
      <c r="Q4" s="1338"/>
      <c r="R4" s="290"/>
      <c r="S4" s="1263" t="e">
        <f>INDEX(PT_DIFFERENTIATION_NUM_CS,MATCH(C4,PT_DIFFERENTIATION_CS_ID,0))</f>
        <v>#N/A</v>
      </c>
      <c r="T4" s="247" t="s">
        <v>405</v>
      </c>
      <c r="U4" s="238"/>
      <c r="V4" s="2246"/>
      <c r="W4" s="2246"/>
      <c r="X4" s="2246"/>
      <c r="Y4" s="2246"/>
      <c r="Z4" s="2246"/>
      <c r="AA4" s="2247"/>
      <c r="AB4" s="2245" t="e">
        <f>INDEX(PT_DIFFERENTIATION_CS,MATCH(C4,PT_DIFFERENTIATION_CS_ID,0))</f>
        <v>#N/A</v>
      </c>
      <c r="AC4" s="2246"/>
      <c r="AD4" s="2246"/>
      <c r="AE4" s="2246"/>
      <c r="AF4" s="2246"/>
      <c r="AG4" s="2246"/>
      <c r="AH4" s="2246"/>
      <c r="AI4" s="2246"/>
      <c r="AJ4" s="2246"/>
      <c r="AK4" s="2246"/>
      <c r="AL4" s="2246"/>
      <c r="AM4" s="2246"/>
      <c r="AN4" s="2246"/>
      <c r="AO4" s="2246"/>
      <c r="AP4" s="2246"/>
      <c r="AQ4" s="2246"/>
      <c r="AR4" s="2246"/>
      <c r="AS4" s="2246"/>
      <c r="AT4" s="2247"/>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52"/>
      <c r="F5" s="2252"/>
      <c r="G5" s="2252"/>
      <c r="H5" s="2251">
        <v>1</v>
      </c>
      <c r="I5" s="1290"/>
      <c r="J5" s="1290"/>
      <c r="K5" s="1290"/>
      <c r="L5" s="1291"/>
      <c r="M5" s="1292"/>
      <c r="N5" s="1292"/>
      <c r="O5" s="1292"/>
      <c r="P5" s="1339"/>
      <c r="Q5" s="1338"/>
      <c r="R5" s="290"/>
      <c r="S5" s="1263" t="e">
        <f>INDEX(PT_DIFFERENTIATION_NUM_IST_TE,MATCH(D5,PT_DIFFERENTIATION_IST_TE_ID,0))</f>
        <v>#N/A</v>
      </c>
      <c r="T5" s="248" t="s">
        <v>407</v>
      </c>
      <c r="U5" s="238"/>
      <c r="V5" s="2246"/>
      <c r="W5" s="2246"/>
      <c r="X5" s="2246"/>
      <c r="Y5" s="2246"/>
      <c r="Z5" s="2246"/>
      <c r="AA5" s="2247"/>
      <c r="AB5" s="2245" t="e">
        <f>INDEX(PT_DIFFERENTIATION_IST_TE,MATCH(D5,PT_DIFFERENTIATION_IST_TE_ID,0))</f>
        <v>#N/A</v>
      </c>
      <c r="AC5" s="2246"/>
      <c r="AD5" s="2246"/>
      <c r="AE5" s="2246"/>
      <c r="AF5" s="2246"/>
      <c r="AG5" s="2246"/>
      <c r="AH5" s="2246"/>
      <c r="AI5" s="2246"/>
      <c r="AJ5" s="2246"/>
      <c r="AK5" s="2246"/>
      <c r="AL5" s="2246"/>
      <c r="AM5" s="2246"/>
      <c r="AN5" s="2246"/>
      <c r="AO5" s="2246"/>
      <c r="AP5" s="2246"/>
      <c r="AQ5" s="2246"/>
      <c r="AR5" s="2246"/>
      <c r="AS5" s="2246"/>
      <c r="AT5" s="2247"/>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52"/>
      <c r="F6" s="2252"/>
      <c r="G6" s="2252"/>
      <c r="H6" s="2252"/>
      <c r="I6" s="2253" t="e">
        <f>S5&amp;".1"</f>
        <v>#N/A</v>
      </c>
      <c r="J6" s="1270"/>
      <c r="K6" s="1270"/>
      <c r="L6" s="1273" t="s">
        <v>409</v>
      </c>
      <c r="M6" s="447"/>
      <c r="N6" s="447"/>
      <c r="O6" s="447"/>
      <c r="P6" s="2255">
        <v>1</v>
      </c>
      <c r="Q6" s="1258"/>
      <c r="R6" s="293"/>
      <c r="S6" s="972"/>
      <c r="T6" s="1310"/>
      <c r="U6" s="1311"/>
      <c r="V6" s="2292"/>
      <c r="W6" s="2292"/>
      <c r="X6" s="2292"/>
      <c r="Y6" s="2292"/>
      <c r="Z6" s="2292"/>
      <c r="AA6" s="2293"/>
      <c r="AB6" s="2291"/>
      <c r="AC6" s="2292"/>
      <c r="AD6" s="2292"/>
      <c r="AE6" s="2292"/>
      <c r="AF6" s="2292"/>
      <c r="AG6" s="2292"/>
      <c r="AH6" s="2292"/>
      <c r="AI6" s="2292"/>
      <c r="AJ6" s="2292"/>
      <c r="AK6" s="2292"/>
      <c r="AL6" s="2292"/>
      <c r="AM6" s="2292"/>
      <c r="AN6" s="2292"/>
      <c r="AO6" s="2292"/>
      <c r="AP6" s="2292"/>
      <c r="AQ6" s="2292"/>
      <c r="AR6" s="2292"/>
      <c r="AS6" s="2292"/>
      <c r="AT6" s="2293"/>
      <c r="AU6" s="1312"/>
      <c r="AW6" s="437"/>
      <c r="AX6" s="437" t="str">
        <f t="shared" si="0"/>
        <v/>
      </c>
      <c r="AY6" s="437"/>
      <c r="AZ6" s="437"/>
      <c r="BA6" s="448">
        <v>0</v>
      </c>
    </row>
    <row r="7" spans="1:53" s="1569" customFormat="1" ht="0.75" hidden="1" customHeight="1">
      <c r="A7" s="1270"/>
      <c r="B7" s="1270"/>
      <c r="C7" s="1270"/>
      <c r="D7" s="1270"/>
      <c r="E7" s="2252"/>
      <c r="F7" s="2252"/>
      <c r="G7" s="2252"/>
      <c r="H7" s="2252"/>
      <c r="I7" s="2254"/>
      <c r="J7" s="2253" t="e">
        <f>S5&amp;".1"</f>
        <v>#N/A</v>
      </c>
      <c r="K7" s="1270"/>
      <c r="L7" s="1273"/>
      <c r="M7" s="447"/>
      <c r="N7" s="447"/>
      <c r="O7" s="447"/>
      <c r="P7" s="2255"/>
      <c r="Q7" s="2255">
        <v>1</v>
      </c>
      <c r="R7" s="294"/>
      <c r="S7" s="972"/>
      <c r="T7" s="1326"/>
      <c r="U7" s="1311"/>
      <c r="V7" s="2292"/>
      <c r="W7" s="2292"/>
      <c r="X7" s="2292"/>
      <c r="Y7" s="2292"/>
      <c r="Z7" s="2292"/>
      <c r="AA7" s="2293"/>
      <c r="AB7" s="2291"/>
      <c r="AC7" s="2292"/>
      <c r="AD7" s="2292"/>
      <c r="AE7" s="2292"/>
      <c r="AF7" s="2292"/>
      <c r="AG7" s="2292"/>
      <c r="AH7" s="2292"/>
      <c r="AI7" s="2292"/>
      <c r="AJ7" s="2292"/>
      <c r="AK7" s="2292"/>
      <c r="AL7" s="2292"/>
      <c r="AM7" s="2292"/>
      <c r="AN7" s="2292"/>
      <c r="AO7" s="2292"/>
      <c r="AP7" s="2292"/>
      <c r="AQ7" s="2292"/>
      <c r="AR7" s="2292"/>
      <c r="AS7" s="2292"/>
      <c r="AT7" s="2293"/>
      <c r="AU7" s="1312"/>
      <c r="AW7" s="437"/>
      <c r="AX7" s="437" t="str">
        <f t="shared" si="0"/>
        <v/>
      </c>
      <c r="AY7" s="437"/>
      <c r="AZ7" s="437"/>
      <c r="BA7" s="448">
        <v>0</v>
      </c>
    </row>
    <row r="8" spans="1:53" ht="21" hidden="1" customHeight="1">
      <c r="A8" s="1290"/>
      <c r="B8" s="1290"/>
      <c r="C8" s="1290"/>
      <c r="D8" s="1290"/>
      <c r="E8" s="2252"/>
      <c r="F8" s="2252"/>
      <c r="G8" s="2252"/>
      <c r="H8" s="2252"/>
      <c r="I8" s="2254"/>
      <c r="J8" s="2254"/>
      <c r="K8" s="2253" t="e">
        <f>S5&amp;".1"</f>
        <v>#N/A</v>
      </c>
      <c r="L8" s="1291"/>
      <c r="P8" s="2255"/>
      <c r="Q8" s="2255"/>
      <c r="R8" s="2320">
        <v>1</v>
      </c>
      <c r="S8" s="2317" t="e">
        <f>$K8</f>
        <v>#N/A</v>
      </c>
      <c r="T8" s="2314"/>
      <c r="U8" s="238"/>
      <c r="V8" s="688"/>
      <c r="W8" s="1184"/>
      <c r="X8" s="2256"/>
      <c r="Y8" s="2126" t="s">
        <v>66</v>
      </c>
      <c r="Z8" s="2256"/>
      <c r="AA8" s="2126" t="s">
        <v>66</v>
      </c>
      <c r="AB8" s="2126" t="s">
        <v>19</v>
      </c>
      <c r="AC8" s="2313"/>
      <c r="AD8" s="2208">
        <v>1</v>
      </c>
      <c r="AE8" s="2327"/>
      <c r="AF8" s="2126" t="s">
        <v>19</v>
      </c>
      <c r="AG8" s="2313"/>
      <c r="AH8" s="2208">
        <v>1</v>
      </c>
      <c r="AI8" s="2327"/>
      <c r="AJ8" s="2126" t="s">
        <v>19</v>
      </c>
      <c r="AK8" s="249"/>
      <c r="AL8" s="1264">
        <v>1</v>
      </c>
      <c r="AM8" s="1325"/>
      <c r="AN8" s="688"/>
      <c r="AO8" s="1184"/>
      <c r="AP8" s="1660"/>
      <c r="AQ8" s="1386" t="s">
        <v>66</v>
      </c>
      <c r="AR8" s="1660"/>
      <c r="AS8" s="1386" t="s">
        <v>66</v>
      </c>
      <c r="AT8" s="1275"/>
      <c r="AU8" s="2274" t="s">
        <v>469</v>
      </c>
      <c r="AV8" s="448" t="e">
        <f ca="1">STRCHECKDATE(V11:AT11)</f>
        <v>#NAME?</v>
      </c>
      <c r="AW8" s="437"/>
      <c r="AX8" s="437" t="str">
        <f t="shared" si="0"/>
        <v/>
      </c>
      <c r="AY8" s="437"/>
      <c r="AZ8" s="437"/>
      <c r="BA8" s="1082">
        <v>0</v>
      </c>
    </row>
    <row r="9" spans="1:53" ht="11.25" hidden="1" customHeight="1">
      <c r="A9" s="1290"/>
      <c r="B9" s="1290"/>
      <c r="C9" s="1290"/>
      <c r="D9" s="1290"/>
      <c r="E9" s="2252"/>
      <c r="F9" s="2252"/>
      <c r="G9" s="2252"/>
      <c r="H9" s="2252"/>
      <c r="I9" s="2254"/>
      <c r="J9" s="2254"/>
      <c r="K9" s="2253"/>
      <c r="L9" s="1291"/>
      <c r="P9" s="2255"/>
      <c r="Q9" s="2255"/>
      <c r="R9" s="2320"/>
      <c r="S9" s="2318"/>
      <c r="T9" s="2315"/>
      <c r="U9" s="238"/>
      <c r="V9" s="1320"/>
      <c r="W9" s="1324"/>
      <c r="X9" s="2256"/>
      <c r="Y9" s="2126"/>
      <c r="Z9" s="2256"/>
      <c r="AA9" s="2126"/>
      <c r="AB9" s="2126"/>
      <c r="AC9" s="2313"/>
      <c r="AD9" s="2208"/>
      <c r="AE9" s="2327"/>
      <c r="AF9" s="2126"/>
      <c r="AG9" s="2313"/>
      <c r="AH9" s="2208"/>
      <c r="AI9" s="2327"/>
      <c r="AJ9" s="2126"/>
      <c r="AK9" s="254"/>
      <c r="AL9" s="353"/>
      <c r="AM9" s="352" t="s">
        <v>470</v>
      </c>
      <c r="AN9" s="1320"/>
      <c r="AO9" s="1423"/>
      <c r="AP9" s="1320"/>
      <c r="AQ9" s="1320"/>
      <c r="AR9" s="1320"/>
      <c r="AS9" s="1320"/>
      <c r="AT9" s="1317"/>
      <c r="AU9" s="2275"/>
      <c r="AW9" s="437"/>
      <c r="AX9" s="437"/>
      <c r="AY9" s="437"/>
      <c r="AZ9" s="437"/>
      <c r="BA9" s="1082">
        <v>0</v>
      </c>
    </row>
    <row r="10" spans="1:53" ht="11.25" hidden="1" customHeight="1">
      <c r="A10" s="1290"/>
      <c r="B10" s="1290"/>
      <c r="C10" s="1290"/>
      <c r="D10" s="1290"/>
      <c r="E10" s="2252"/>
      <c r="F10" s="2252"/>
      <c r="G10" s="2252"/>
      <c r="H10" s="2252"/>
      <c r="I10" s="2254"/>
      <c r="J10" s="2254"/>
      <c r="K10" s="2253"/>
      <c r="L10" s="1291"/>
      <c r="P10" s="2255"/>
      <c r="Q10" s="2255"/>
      <c r="R10" s="2320"/>
      <c r="S10" s="2318"/>
      <c r="T10" s="2315"/>
      <c r="U10" s="238"/>
      <c r="V10" s="1320"/>
      <c r="W10" s="1324"/>
      <c r="X10" s="2256"/>
      <c r="Y10" s="2126"/>
      <c r="Z10" s="2256"/>
      <c r="AA10" s="2126"/>
      <c r="AB10" s="2126"/>
      <c r="AC10" s="2313"/>
      <c r="AD10" s="2208"/>
      <c r="AE10" s="2327"/>
      <c r="AF10" s="2126"/>
      <c r="AG10" s="232"/>
      <c r="AH10" s="352"/>
      <c r="AI10" s="352" t="s">
        <v>471</v>
      </c>
      <c r="AJ10" s="1320"/>
      <c r="AK10" s="1320"/>
      <c r="AL10" s="1320"/>
      <c r="AM10" s="1320"/>
      <c r="AN10" s="1320"/>
      <c r="AO10" s="1423"/>
      <c r="AP10" s="1320"/>
      <c r="AQ10" s="1320"/>
      <c r="AR10" s="1320"/>
      <c r="AS10" s="1320"/>
      <c r="AT10" s="1317"/>
      <c r="AU10" s="2275"/>
      <c r="AW10" s="437"/>
      <c r="AX10" s="437"/>
      <c r="AY10" s="437"/>
      <c r="AZ10" s="437"/>
      <c r="BA10" s="1082">
        <v>0</v>
      </c>
    </row>
    <row r="11" spans="1:53" ht="11.25" hidden="1" customHeight="1">
      <c r="A11" s="1290"/>
      <c r="B11" s="1290"/>
      <c r="C11" s="1290"/>
      <c r="D11" s="1290"/>
      <c r="E11" s="2252"/>
      <c r="F11" s="2252"/>
      <c r="G11" s="2252"/>
      <c r="H11" s="2252"/>
      <c r="I11" s="2254"/>
      <c r="J11" s="2254"/>
      <c r="K11" s="2253"/>
      <c r="L11" s="1291"/>
      <c r="P11" s="2255"/>
      <c r="Q11" s="2255"/>
      <c r="R11" s="2320"/>
      <c r="S11" s="2319"/>
      <c r="T11" s="2316"/>
      <c r="U11" s="238"/>
      <c r="V11" s="1320"/>
      <c r="W11" s="1323" t="str">
        <f>X8&amp;"-"&amp;Z8</f>
        <v>-</v>
      </c>
      <c r="X11" s="2257"/>
      <c r="Y11" s="2126"/>
      <c r="Z11" s="2257"/>
      <c r="AA11" s="2126"/>
      <c r="AB11" s="2126"/>
      <c r="AC11" s="250"/>
      <c r="AD11" s="252"/>
      <c r="AE11" s="352" t="s">
        <v>472</v>
      </c>
      <c r="AF11" s="1320"/>
      <c r="AG11" s="1320"/>
      <c r="AH11" s="1320"/>
      <c r="AI11" s="1320"/>
      <c r="AJ11" s="1320"/>
      <c r="AK11" s="1320"/>
      <c r="AL11" s="1320"/>
      <c r="AM11" s="1320"/>
      <c r="AN11" s="1320"/>
      <c r="AO11" s="1321" t="str">
        <f>AP8&amp;"-"&amp;AR8</f>
        <v>-</v>
      </c>
      <c r="AP11" s="1320"/>
      <c r="AQ11" s="1320"/>
      <c r="AR11" s="1320"/>
      <c r="AS11" s="1320"/>
      <c r="AT11" s="1276"/>
      <c r="AU11" s="2275"/>
      <c r="AW11" s="437"/>
      <c r="AX11" s="437" t="str">
        <f t="shared" ref="AX11:AX17" si="1">IF(T11="","",T11)</f>
        <v/>
      </c>
      <c r="AY11" s="437"/>
      <c r="AZ11" s="437"/>
      <c r="BA11" s="1082">
        <v>0</v>
      </c>
    </row>
    <row r="12" spans="1:53" ht="11.25" hidden="1" customHeight="1">
      <c r="A12" s="1290"/>
      <c r="B12" s="1290"/>
      <c r="C12" s="1290"/>
      <c r="D12" s="1290"/>
      <c r="E12" s="2252"/>
      <c r="F12" s="2252"/>
      <c r="G12" s="2252"/>
      <c r="H12" s="2252"/>
      <c r="I12" s="2254"/>
      <c r="J12" s="2253"/>
      <c r="K12" s="1290"/>
      <c r="L12" s="1291"/>
      <c r="P12" s="2255"/>
      <c r="Q12" s="2255"/>
      <c r="R12" s="293"/>
      <c r="S12" s="1205"/>
      <c r="T12" s="225"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76"/>
      <c r="AW12" s="437"/>
      <c r="AX12" s="437" t="str">
        <f t="shared" si="1"/>
        <v>Добавить строку</v>
      </c>
      <c r="AY12" s="437"/>
      <c r="AZ12" s="437"/>
      <c r="BA12" s="1082">
        <v>0</v>
      </c>
    </row>
    <row r="13" spans="1:53" s="1569" customFormat="1" ht="0.75" hidden="1" customHeight="1">
      <c r="A13" s="1270"/>
      <c r="B13" s="1270"/>
      <c r="C13" s="1270"/>
      <c r="D13" s="1270"/>
      <c r="E13" s="2252"/>
      <c r="F13" s="2252"/>
      <c r="G13" s="2252"/>
      <c r="H13" s="2252"/>
      <c r="I13" s="2253"/>
      <c r="J13" s="1270"/>
      <c r="K13" s="1270"/>
      <c r="L13" s="1273"/>
      <c r="M13" s="447"/>
      <c r="N13" s="447"/>
      <c r="O13" s="447"/>
      <c r="P13" s="225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52"/>
      <c r="F14" s="2252"/>
      <c r="G14" s="2252"/>
      <c r="H14" s="225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52"/>
      <c r="F15" s="2252"/>
      <c r="G15" s="2251"/>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52"/>
      <c r="F16" s="2251"/>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51"/>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474</v>
      </c>
      <c r="AE23" s="1434" t="s">
        <v>475</v>
      </c>
      <c r="AF23" s="1434" t="s">
        <v>474</v>
      </c>
      <c r="AI23" s="1434" t="s">
        <v>476</v>
      </c>
      <c r="AJ23" s="1434" t="s">
        <v>474</v>
      </c>
      <c r="AM23" s="1434" t="s">
        <v>477</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1170"/>
      <c r="BA27" s="1082">
        <v>26</v>
      </c>
    </row>
    <row r="28" spans="1:53" ht="14.65" customHeight="1">
      <c r="Q28" s="229"/>
      <c r="R28" s="313"/>
      <c r="S28" s="2204" t="str">
        <f>IF(org=0,"Не определено",org)</f>
        <v>ООО ПКФ "Энергетик-2001"</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42" t="s">
        <v>42</v>
      </c>
      <c r="T30" s="2242"/>
      <c r="U30" s="1299"/>
      <c r="V30" s="2244" t="str">
        <f>IF(TITLE_NAME_OR_PR_CHANGE="",IF(TITLE_NAME_OR_PR="","",TITLE_NAME_OR_PR),TITLE_NAME_OR_PR_CHANGE)</f>
        <v/>
      </c>
      <c r="W30" s="2244"/>
      <c r="X30" s="2244"/>
      <c r="Y30" s="2244"/>
      <c r="Z30" s="2244"/>
      <c r="AA30" s="264"/>
      <c r="AB30" s="2244" t="str">
        <f>IF(TITLE_NAME_OR_PR_CHANGE="",IF(TITLE_NAME_OR_PR="","",TITLE_NAME_OR_PR),TITLE_NAME_OR_PR_CHANGE)</f>
        <v/>
      </c>
      <c r="AC30" s="2244"/>
      <c r="AD30" s="2244"/>
      <c r="AE30" s="2244"/>
      <c r="AF30" s="2244"/>
      <c r="AG30" s="2244"/>
      <c r="AH30" s="2244"/>
      <c r="AI30" s="2244"/>
      <c r="AJ30" s="2244"/>
      <c r="AK30" s="2244"/>
      <c r="AL30" s="2244"/>
      <c r="AM30" s="2244"/>
      <c r="AN30" s="2244"/>
      <c r="AO30" s="2244"/>
      <c r="AP30" s="2244"/>
      <c r="AQ30" s="2244"/>
      <c r="AR30" s="2244"/>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42" t="s">
        <v>426</v>
      </c>
      <c r="T31" s="2242"/>
      <c r="U31" s="1299"/>
      <c r="V31" s="2243">
        <f>IF(TITLE_DATE_PR_CHANGE="",IF(TITLE_DATE_PR="","",TITLE_DATE_PR),TITLE_DATE_PR_CHANGE)</f>
        <v>45777</v>
      </c>
      <c r="W31" s="2243"/>
      <c r="X31" s="2243"/>
      <c r="Y31" s="2243"/>
      <c r="Z31" s="2243"/>
      <c r="AA31" s="264"/>
      <c r="AB31" s="2243">
        <f>IF(TITLE_DATE_PR_CHANGE="",IF(TITLE_DATE_PR="","",TITLE_DATE_PR),TITLE_DATE_PR_CHANGE)</f>
        <v>45777</v>
      </c>
      <c r="AC31" s="2243"/>
      <c r="AD31" s="2243"/>
      <c r="AE31" s="2243"/>
      <c r="AF31" s="2243"/>
      <c r="AG31" s="2243"/>
      <c r="AH31" s="2243"/>
      <c r="AI31" s="2243"/>
      <c r="AJ31" s="2243"/>
      <c r="AK31" s="2243"/>
      <c r="AL31" s="2243"/>
      <c r="AM31" s="2243"/>
      <c r="AN31" s="2243"/>
      <c r="AO31" s="2243"/>
      <c r="AP31" s="2243"/>
      <c r="AQ31" s="2243"/>
      <c r="AR31" s="2243"/>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42" t="s">
        <v>427</v>
      </c>
      <c r="T32" s="2242"/>
      <c r="U32" s="1299"/>
      <c r="V32" s="2244" t="str">
        <f>IF(TITLE_NUMBER_PR_CHANGE="",IF(TITLE_NUMBER_PR="","",TITLE_NUMBER_PR),TITLE_NUMBER_PR_CHANGE)</f>
        <v>466</v>
      </c>
      <c r="W32" s="2244"/>
      <c r="X32" s="2244"/>
      <c r="Y32" s="2244"/>
      <c r="Z32" s="2244"/>
      <c r="AA32" s="264"/>
      <c r="AB32" s="2244" t="str">
        <f>IF(TITLE_NUMBER_PR_CHANGE="",IF(TITLE_NUMBER_PR="","",TITLE_NUMBER_PR),TITLE_NUMBER_PR_CHANGE)</f>
        <v>466</v>
      </c>
      <c r="AC32" s="2244"/>
      <c r="AD32" s="2244"/>
      <c r="AE32" s="2244"/>
      <c r="AF32" s="2244"/>
      <c r="AG32" s="2244"/>
      <c r="AH32" s="2244"/>
      <c r="AI32" s="2244"/>
      <c r="AJ32" s="2244"/>
      <c r="AK32" s="2244"/>
      <c r="AL32" s="2244"/>
      <c r="AM32" s="2244"/>
      <c r="AN32" s="2244"/>
      <c r="AO32" s="2244"/>
      <c r="AP32" s="2244"/>
      <c r="AQ32" s="2244"/>
      <c r="AR32" s="2244"/>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42" t="s">
        <v>43</v>
      </c>
      <c r="T33" s="2242"/>
      <c r="U33" s="1299"/>
      <c r="V33" s="2244" t="str">
        <f>IF(TITLE_IST_PUB_CHANGE="",IF(TITLE_IST_PUB="","",TITLE_IST_PUB),TITLE_IST_PUB_CHANGE)</f>
        <v/>
      </c>
      <c r="W33" s="2244"/>
      <c r="X33" s="2244"/>
      <c r="Y33" s="2244"/>
      <c r="Z33" s="2244"/>
      <c r="AA33" s="264"/>
      <c r="AB33" s="2244" t="str">
        <f>IF(TITLE_IST_PUB_CHANGE="",IF(TITLE_IST_PUB="","",TITLE_IST_PUB),TITLE_IST_PUB_CHANGE)</f>
        <v/>
      </c>
      <c r="AC33" s="2244"/>
      <c r="AD33" s="2244"/>
      <c r="AE33" s="2244"/>
      <c r="AF33" s="2244"/>
      <c r="AG33" s="2244"/>
      <c r="AH33" s="2244"/>
      <c r="AI33" s="2244"/>
      <c r="AJ33" s="2244"/>
      <c r="AK33" s="2244"/>
      <c r="AL33" s="2244"/>
      <c r="AM33" s="2244"/>
      <c r="AN33" s="2244"/>
      <c r="AO33" s="2244"/>
      <c r="AP33" s="2244"/>
      <c r="AQ33" s="2244"/>
      <c r="AR33" s="2244"/>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42" t="s">
        <v>426</v>
      </c>
      <c r="T35" s="2242"/>
      <c r="U35" s="1299"/>
      <c r="V35" s="2243">
        <f>IF(TITLE_DATE_PR_CHANGE="",IF(TITLE_DATE_PR="","",TITLE_DATE_PR),TITLE_DATE_PR_CHANGE)</f>
        <v>45777</v>
      </c>
      <c r="W35" s="2243"/>
      <c r="X35" s="2243"/>
      <c r="Y35" s="2243"/>
      <c r="Z35" s="2243"/>
      <c r="AA35" s="264"/>
      <c r="AB35" s="2243">
        <f>IF(TITLE_DATE_PR_CHANGE="",IF(TITLE_DATE_PR="","",TITLE_DATE_PR),TITLE_DATE_PR_CHANGE)</f>
        <v>45777</v>
      </c>
      <c r="AC35" s="2243"/>
      <c r="AD35" s="2243"/>
      <c r="AE35" s="2243"/>
      <c r="AF35" s="2243"/>
      <c r="AG35" s="2243"/>
      <c r="AH35" s="2243"/>
      <c r="AI35" s="2243"/>
      <c r="AJ35" s="2243"/>
      <c r="AK35" s="2243"/>
      <c r="AL35" s="2243"/>
      <c r="AM35" s="2243"/>
      <c r="AN35" s="2243"/>
      <c r="AO35" s="2243"/>
      <c r="AP35" s="2243"/>
      <c r="AQ35" s="2243"/>
      <c r="AR35" s="2243"/>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42" t="s">
        <v>427</v>
      </c>
      <c r="T36" s="2242"/>
      <c r="U36" s="1299"/>
      <c r="V36" s="2244" t="str">
        <f>IF(TITLE_NUMBER_PR_CHANGE="",IF(TITLE_NUMBER_PR="","",TITLE_NUMBER_PR),TITLE_NUMBER_PR_CHANGE)</f>
        <v>466</v>
      </c>
      <c r="W36" s="2244"/>
      <c r="X36" s="2244"/>
      <c r="Y36" s="2244"/>
      <c r="Z36" s="2244"/>
      <c r="AA36" s="264"/>
      <c r="AB36" s="2244" t="str">
        <f>IF(TITLE_NUMBER_PR_CHANGE="",IF(TITLE_NUMBER_PR="","",TITLE_NUMBER_PR),TITLE_NUMBER_PR_CHANGE)</f>
        <v>466</v>
      </c>
      <c r="AC36" s="2244"/>
      <c r="AD36" s="2244"/>
      <c r="AE36" s="2244"/>
      <c r="AF36" s="2244"/>
      <c r="AG36" s="2244"/>
      <c r="AH36" s="2244"/>
      <c r="AI36" s="2244"/>
      <c r="AJ36" s="2244"/>
      <c r="AK36" s="2244"/>
      <c r="AL36" s="2244"/>
      <c r="AM36" s="2244"/>
      <c r="AN36" s="2244"/>
      <c r="AO36" s="2244"/>
      <c r="AP36" s="2244"/>
      <c r="AQ36" s="2244"/>
      <c r="AR36" s="2244"/>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c r="AS38" s="2263"/>
      <c r="BA38" s="1082">
        <v>14</v>
      </c>
    </row>
    <row r="39" spans="1:53" ht="14.65" customHeight="1">
      <c r="Q39" s="229"/>
      <c r="R39" s="313"/>
      <c r="S39" s="2116" t="s">
        <v>306</v>
      </c>
      <c r="T39" s="2116"/>
      <c r="U39" s="2116"/>
      <c r="V39" s="2116"/>
      <c r="W39" s="2116"/>
      <c r="X39" s="2116"/>
      <c r="Y39" s="2116"/>
      <c r="Z39" s="2116"/>
      <c r="AA39" s="2116"/>
      <c r="AB39" s="2184"/>
      <c r="AC39" s="2184"/>
      <c r="AD39" s="2184"/>
      <c r="AE39" s="2184"/>
      <c r="AF39" s="2116"/>
      <c r="AG39" s="2116"/>
      <c r="AH39" s="2116"/>
      <c r="AI39" s="2116"/>
      <c r="AJ39" s="2116"/>
      <c r="AK39" s="2116"/>
      <c r="AL39" s="2116"/>
      <c r="AM39" s="2116"/>
      <c r="AN39" s="2116"/>
      <c r="AO39" s="2116"/>
      <c r="AP39" s="2116"/>
      <c r="AQ39" s="2116"/>
      <c r="AR39" s="2116"/>
      <c r="AS39" s="2116"/>
      <c r="AT39" s="2116"/>
      <c r="AU39" s="2116" t="s">
        <v>307</v>
      </c>
      <c r="BA39" s="1082">
        <v>14</v>
      </c>
    </row>
    <row r="40" spans="1:53" ht="14.65" customHeight="1">
      <c r="Q40" s="229"/>
      <c r="R40" s="313"/>
      <c r="S40" s="2264" t="s">
        <v>88</v>
      </c>
      <c r="T40" s="2212" t="s">
        <v>478</v>
      </c>
      <c r="U40" s="239"/>
      <c r="V40" s="2266"/>
      <c r="W40" s="2266"/>
      <c r="X40" s="2266"/>
      <c r="Y40" s="2266"/>
      <c r="Z40" s="2267"/>
      <c r="AA40" s="2322" t="s">
        <v>433</v>
      </c>
      <c r="AB40" s="2306" t="s">
        <v>479</v>
      </c>
      <c r="AC40" s="2290"/>
      <c r="AD40" s="2290"/>
      <c r="AE40" s="2307"/>
      <c r="AF40" s="2290" t="s">
        <v>480</v>
      </c>
      <c r="AG40" s="2290"/>
      <c r="AH40" s="2290"/>
      <c r="AI40" s="2307"/>
      <c r="AJ40" s="2306" t="s">
        <v>481</v>
      </c>
      <c r="AK40" s="2290"/>
      <c r="AL40" s="2290"/>
      <c r="AM40" s="2307"/>
      <c r="AN40" s="2306" t="s">
        <v>432</v>
      </c>
      <c r="AO40" s="2290"/>
      <c r="AP40" s="2266"/>
      <c r="AQ40" s="2266"/>
      <c r="AR40" s="2267"/>
      <c r="AS40" s="2268" t="s">
        <v>433</v>
      </c>
      <c r="AT40" s="2271" t="s">
        <v>435</v>
      </c>
      <c r="AU40" s="2116"/>
      <c r="BA40" s="1082">
        <v>14</v>
      </c>
    </row>
    <row r="41" spans="1:53" ht="35.65" customHeight="1">
      <c r="Q41" s="229"/>
      <c r="R41" s="313"/>
      <c r="S41" s="2264"/>
      <c r="T41" s="2212"/>
      <c r="U41" s="961"/>
      <c r="V41" s="2116" t="s">
        <v>482</v>
      </c>
      <c r="W41" s="2116"/>
      <c r="X41" s="2185" t="s">
        <v>439</v>
      </c>
      <c r="Y41" s="2302"/>
      <c r="Z41" s="2186"/>
      <c r="AA41" s="2323"/>
      <c r="AB41" s="2308"/>
      <c r="AC41" s="2309"/>
      <c r="AD41" s="2309"/>
      <c r="AE41" s="2321"/>
      <c r="AF41" s="2309"/>
      <c r="AG41" s="2309"/>
      <c r="AH41" s="2309"/>
      <c r="AI41" s="2321"/>
      <c r="AJ41" s="2308"/>
      <c r="AK41" s="2309"/>
      <c r="AL41" s="2309"/>
      <c r="AM41" s="2309"/>
      <c r="AN41" s="2116" t="s">
        <v>482</v>
      </c>
      <c r="AO41" s="2116"/>
      <c r="AP41" s="2302" t="s">
        <v>439</v>
      </c>
      <c r="AQ41" s="2302"/>
      <c r="AR41" s="2186"/>
      <c r="AS41" s="2269"/>
      <c r="AT41" s="2272"/>
      <c r="AU41" s="2116"/>
      <c r="BA41" s="1082">
        <v>34</v>
      </c>
    </row>
    <row r="42" spans="1:53" ht="14.65" customHeight="1">
      <c r="Q42" s="229"/>
      <c r="R42" s="313"/>
      <c r="S42" s="2264"/>
      <c r="T42" s="2212"/>
      <c r="U42" s="961"/>
      <c r="V42" s="2326" t="str">
        <f>IF($AN$42&lt;&gt;"",$AN$42,"")</f>
        <v>тыс.руб./Гкал/ч</v>
      </c>
      <c r="W42" s="2326"/>
      <c r="X42" s="2190"/>
      <c r="Y42" s="2303"/>
      <c r="Z42" s="2191"/>
      <c r="AA42" s="2323"/>
      <c r="AB42" s="2308"/>
      <c r="AC42" s="2309"/>
      <c r="AD42" s="2309"/>
      <c r="AE42" s="2321"/>
      <c r="AF42" s="2309"/>
      <c r="AG42" s="2309"/>
      <c r="AH42" s="2309"/>
      <c r="AI42" s="2321"/>
      <c r="AJ42" s="2308"/>
      <c r="AK42" s="2309"/>
      <c r="AL42" s="2309"/>
      <c r="AM42" s="2309"/>
      <c r="AN42" s="2325" t="s">
        <v>483</v>
      </c>
      <c r="AO42" s="2325"/>
      <c r="AP42" s="2303"/>
      <c r="AQ42" s="2303"/>
      <c r="AR42" s="2191"/>
      <c r="AS42" s="2269"/>
      <c r="AT42" s="2272"/>
      <c r="AU42" s="2116"/>
      <c r="BA42" s="1082">
        <v>14</v>
      </c>
    </row>
    <row r="43" spans="1:53" ht="14.65" customHeight="1">
      <c r="A43" s="1297"/>
      <c r="B43" s="1297" t="s">
        <v>136</v>
      </c>
      <c r="C43" s="1297" t="s">
        <v>137</v>
      </c>
      <c r="D43" s="1297" t="s">
        <v>138</v>
      </c>
      <c r="E43" s="1291" t="s">
        <v>440</v>
      </c>
      <c r="F43" s="1291" t="s">
        <v>441</v>
      </c>
      <c r="G43" s="1291" t="s">
        <v>442</v>
      </c>
      <c r="H43" s="1291" t="s">
        <v>443</v>
      </c>
      <c r="I43" s="1291" t="s">
        <v>444</v>
      </c>
      <c r="J43" s="1291" t="s">
        <v>445</v>
      </c>
      <c r="K43" s="1291" t="s">
        <v>446</v>
      </c>
      <c r="L43" s="1291" t="s">
        <v>421</v>
      </c>
      <c r="Q43" s="229"/>
      <c r="R43" s="313"/>
      <c r="S43" s="2264"/>
      <c r="T43" s="2212"/>
      <c r="U43" s="240"/>
      <c r="V43" s="1257" t="s">
        <v>484</v>
      </c>
      <c r="W43" s="1257" t="s">
        <v>485</v>
      </c>
      <c r="X43" s="1265" t="s">
        <v>449</v>
      </c>
      <c r="Y43" s="2217" t="s">
        <v>450</v>
      </c>
      <c r="Z43" s="2231"/>
      <c r="AA43" s="2324"/>
      <c r="AB43" s="2310"/>
      <c r="AC43" s="2311"/>
      <c r="AD43" s="2311"/>
      <c r="AE43" s="2312"/>
      <c r="AF43" s="2311"/>
      <c r="AG43" s="2311"/>
      <c r="AH43" s="2311"/>
      <c r="AI43" s="2312"/>
      <c r="AJ43" s="2310"/>
      <c r="AK43" s="2311"/>
      <c r="AL43" s="2311"/>
      <c r="AM43" s="2312"/>
      <c r="AN43" s="1785" t="s">
        <v>484</v>
      </c>
      <c r="AO43" s="1785" t="s">
        <v>485</v>
      </c>
      <c r="AP43" s="1265" t="s">
        <v>449</v>
      </c>
      <c r="AQ43" s="2217" t="s">
        <v>450</v>
      </c>
      <c r="AR43" s="2231"/>
      <c r="AS43" s="2270"/>
      <c r="AT43" s="2273"/>
      <c r="AU43" s="2116"/>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62">
        <f ca="1">OFFSET(Y44,0,-1)+1</f>
        <v>6</v>
      </c>
      <c r="Z44" s="226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62">
        <f ca="1">OFFSET(AQ44,0,-1)+1</f>
        <v>4</v>
      </c>
      <c r="AR44" s="2262"/>
      <c r="AS44" s="1262">
        <f ca="1">OFFSET(AS44,0,-2)+1</f>
        <v>5</v>
      </c>
      <c r="AT44" s="1172">
        <f ca="1">OFFSET(AT44,0,-1)</f>
        <v>5</v>
      </c>
      <c r="AU44" s="1262">
        <f ca="1">OFFSET(AU44,0,-1)+1</f>
        <v>6</v>
      </c>
      <c r="AV44" s="448"/>
      <c r="AW44" s="448"/>
      <c r="AX44" s="448"/>
      <c r="AY44" s="448"/>
      <c r="AZ44" s="448"/>
      <c r="BA44" s="433">
        <v>0</v>
      </c>
    </row>
    <row r="45" spans="1:53" ht="107.25" customHeight="1">
      <c r="A45" s="1290" t="s">
        <v>206</v>
      </c>
      <c r="B45" s="1290"/>
      <c r="C45" s="1290"/>
      <c r="D45" s="1290"/>
      <c r="E45" s="2251">
        <v>1</v>
      </c>
      <c r="F45" s="1290"/>
      <c r="G45" s="1290"/>
      <c r="H45" s="1290"/>
      <c r="I45" s="1290"/>
      <c r="J45" s="1290"/>
      <c r="K45" s="1290"/>
      <c r="L45" s="1291"/>
      <c r="M45" s="1292"/>
      <c r="N45" s="1292"/>
      <c r="O45" s="1292"/>
      <c r="P45" s="1336"/>
      <c r="Q45" s="804"/>
      <c r="R45" s="292"/>
      <c r="S45" s="1263">
        <f>INDEX(PT_DIFFERENTIATION_NUM_NTAR,MATCH(A45,PT_DIFFERENTIATION_NTAR_ID,0))</f>
        <v>1</v>
      </c>
      <c r="T45" s="236" t="s">
        <v>124</v>
      </c>
      <c r="U45" s="238"/>
      <c r="V45" s="2246"/>
      <c r="W45" s="2246"/>
      <c r="X45" s="2246"/>
      <c r="Y45" s="2246"/>
      <c r="Z45" s="2246"/>
      <c r="AA45" s="2247"/>
      <c r="AB45" s="2245" t="str">
        <f>INDEX(PT_DIFFERENTIATION_NTAR,MATCH(A45,PT_DIFFERENTIATION_NTAR_ID,0))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AC45" s="2246"/>
      <c r="AD45" s="2246"/>
      <c r="AE45" s="2246"/>
      <c r="AF45" s="2246"/>
      <c r="AG45" s="2246"/>
      <c r="AH45" s="2246"/>
      <c r="AI45" s="2246"/>
      <c r="AJ45" s="2246"/>
      <c r="AK45" s="2246"/>
      <c r="AL45" s="2246"/>
      <c r="AM45" s="2246"/>
      <c r="AN45" s="2246"/>
      <c r="AO45" s="2246"/>
      <c r="AP45" s="2246"/>
      <c r="AQ45" s="2246"/>
      <c r="AR45" s="2246"/>
      <c r="AS45" s="2246"/>
      <c r="AT45" s="224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206</v>
      </c>
      <c r="B46" s="1290" t="s">
        <v>207</v>
      </c>
      <c r="C46" s="1290"/>
      <c r="D46" s="1290"/>
      <c r="E46" s="2252"/>
      <c r="F46" s="2251">
        <v>1</v>
      </c>
      <c r="G46" s="1290"/>
      <c r="H46" s="1290"/>
      <c r="I46" s="1290"/>
      <c r="J46" s="1290"/>
      <c r="K46" s="1290"/>
      <c r="L46" s="1291"/>
      <c r="M46" s="1292"/>
      <c r="N46" s="1292"/>
      <c r="O46" s="1292"/>
      <c r="P46" s="1337"/>
      <c r="Q46" s="1338"/>
      <c r="R46" s="290"/>
      <c r="S46" s="1263" t="str">
        <f>INDEX(PT_DIFFERENTIATION_NUM_TER,MATCH(B46,PT_DIFFERENTIATION_TER_ID,0))</f>
        <v>1.1</v>
      </c>
      <c r="T46" s="246" t="s">
        <v>403</v>
      </c>
      <c r="U46" s="238"/>
      <c r="V46" s="2246"/>
      <c r="W46" s="2246"/>
      <c r="X46" s="2246"/>
      <c r="Y46" s="2246"/>
      <c r="Z46" s="2246"/>
      <c r="AA46" s="2247"/>
      <c r="AB46" s="2245" t="str">
        <f>INDEX(PT_DIFFERENTIATION_TER,MATCH(B46,PT_DIFFERENTIATION_TER_ID,0))</f>
        <v>без дифференциации</v>
      </c>
      <c r="AC46" s="2246"/>
      <c r="AD46" s="2246"/>
      <c r="AE46" s="2246"/>
      <c r="AF46" s="2246"/>
      <c r="AG46" s="2246"/>
      <c r="AH46" s="2246"/>
      <c r="AI46" s="2246"/>
      <c r="AJ46" s="2246"/>
      <c r="AK46" s="2246"/>
      <c r="AL46" s="2246"/>
      <c r="AM46" s="2246"/>
      <c r="AN46" s="2246"/>
      <c r="AO46" s="2246"/>
      <c r="AP46" s="2246"/>
      <c r="AQ46" s="2246"/>
      <c r="AR46" s="2246"/>
      <c r="AS46" s="2246"/>
      <c r="AT46" s="2247"/>
      <c r="AU46" s="1185" t="s">
        <v>404</v>
      </c>
      <c r="AW46" s="437"/>
      <c r="AX46" s="437" t="str">
        <f t="shared" si="2"/>
        <v>Территория действия тарифа</v>
      </c>
      <c r="AY46" s="437"/>
      <c r="AZ46" s="437"/>
      <c r="BA46" s="1082">
        <v>21</v>
      </c>
    </row>
    <row r="47" spans="1:53" ht="24" customHeight="1">
      <c r="A47" s="1290" t="s">
        <v>206</v>
      </c>
      <c r="B47" s="1290" t="s">
        <v>207</v>
      </c>
      <c r="C47" s="1290" t="s">
        <v>208</v>
      </c>
      <c r="D47" s="1290"/>
      <c r="E47" s="2252"/>
      <c r="F47" s="2252"/>
      <c r="G47" s="2251">
        <v>1</v>
      </c>
      <c r="H47" s="1290"/>
      <c r="I47" s="1290"/>
      <c r="J47" s="1290"/>
      <c r="K47" s="1290"/>
      <c r="L47" s="1291"/>
      <c r="M47" s="1292"/>
      <c r="N47" s="1292"/>
      <c r="O47" s="1292"/>
      <c r="P47" s="1339"/>
      <c r="Q47" s="1338"/>
      <c r="R47" s="290"/>
      <c r="S47" s="1263" t="str">
        <f>INDEX(PT_DIFFERENTIATION_NUM_CS,MATCH(C47,PT_DIFFERENTIATION_CS_ID,0))</f>
        <v>1.1.1</v>
      </c>
      <c r="T47" s="247" t="s">
        <v>405</v>
      </c>
      <c r="U47" s="238"/>
      <c r="V47" s="2246"/>
      <c r="W47" s="2246"/>
      <c r="X47" s="2246"/>
      <c r="Y47" s="2246"/>
      <c r="Z47" s="2246"/>
      <c r="AA47" s="2247"/>
      <c r="AB47" s="2245" t="str">
        <f>INDEX(PT_DIFFERENTIATION_CS,MATCH(C47,PT_DIFFERENTIATION_CS_ID,0))</f>
        <v>без дифференциации</v>
      </c>
      <c r="AC47" s="2246"/>
      <c r="AD47" s="2246"/>
      <c r="AE47" s="2246"/>
      <c r="AF47" s="2246"/>
      <c r="AG47" s="2246"/>
      <c r="AH47" s="2246"/>
      <c r="AI47" s="2246"/>
      <c r="AJ47" s="2246"/>
      <c r="AK47" s="2246"/>
      <c r="AL47" s="2246"/>
      <c r="AM47" s="2246"/>
      <c r="AN47" s="2246"/>
      <c r="AO47" s="2246"/>
      <c r="AP47" s="2246"/>
      <c r="AQ47" s="2246"/>
      <c r="AR47" s="2246"/>
      <c r="AS47" s="2246"/>
      <c r="AT47" s="2247"/>
      <c r="AU47" s="1185" t="s">
        <v>406</v>
      </c>
      <c r="AW47" s="437"/>
      <c r="AX47" s="437" t="str">
        <f t="shared" si="2"/>
        <v xml:space="preserve">Наименование системы теплоснабжения </v>
      </c>
      <c r="AY47" s="437"/>
      <c r="AZ47" s="437"/>
      <c r="BA47" s="1082">
        <v>23</v>
      </c>
    </row>
    <row r="48" spans="1:53" ht="21" customHeight="1">
      <c r="A48" s="1290" t="s">
        <v>206</v>
      </c>
      <c r="B48" s="1290" t="s">
        <v>207</v>
      </c>
      <c r="C48" s="1290" t="s">
        <v>208</v>
      </c>
      <c r="D48" s="1290" t="s">
        <v>209</v>
      </c>
      <c r="E48" s="2252"/>
      <c r="F48" s="2252"/>
      <c r="G48" s="2252"/>
      <c r="H48" s="2251">
        <v>1</v>
      </c>
      <c r="I48" s="1290"/>
      <c r="J48" s="1290"/>
      <c r="K48" s="1290"/>
      <c r="L48" s="1291"/>
      <c r="M48" s="1292"/>
      <c r="N48" s="1292"/>
      <c r="O48" s="1292"/>
      <c r="P48" s="1339"/>
      <c r="Q48" s="1338"/>
      <c r="R48" s="290"/>
      <c r="S48" s="1263" t="str">
        <f>INDEX(PT_DIFFERENTIATION_NUM_IST_TE,MATCH(D48,PT_DIFFERENTIATION_IST_TE_ID,0))</f>
        <v>1.1.1.1</v>
      </c>
      <c r="T48" s="248" t="s">
        <v>407</v>
      </c>
      <c r="U48" s="238"/>
      <c r="V48" s="2246"/>
      <c r="W48" s="2246"/>
      <c r="X48" s="2246"/>
      <c r="Y48" s="2246"/>
      <c r="Z48" s="2246"/>
      <c r="AA48" s="2247"/>
      <c r="AB48" s="2245" t="str">
        <f>INDEX(PT_DIFFERENTIATION_IST_TE,MATCH(D48,PT_DIFFERENTIATION_IST_TE_ID,0))</f>
        <v>без дифференциации</v>
      </c>
      <c r="AC48" s="2246"/>
      <c r="AD48" s="2246"/>
      <c r="AE48" s="2246"/>
      <c r="AF48" s="2246"/>
      <c r="AG48" s="2246"/>
      <c r="AH48" s="2246"/>
      <c r="AI48" s="2246"/>
      <c r="AJ48" s="2246"/>
      <c r="AK48" s="2246"/>
      <c r="AL48" s="2246"/>
      <c r="AM48" s="2246"/>
      <c r="AN48" s="2246"/>
      <c r="AO48" s="2246"/>
      <c r="AP48" s="2246"/>
      <c r="AQ48" s="2246"/>
      <c r="AR48" s="2246"/>
      <c r="AS48" s="2246"/>
      <c r="AT48" s="2247"/>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206</v>
      </c>
      <c r="B49" s="1270" t="s">
        <v>207</v>
      </c>
      <c r="C49" s="1270" t="s">
        <v>208</v>
      </c>
      <c r="D49" s="1270" t="s">
        <v>209</v>
      </c>
      <c r="E49" s="2252"/>
      <c r="F49" s="2252"/>
      <c r="G49" s="2252"/>
      <c r="H49" s="2252"/>
      <c r="I49" s="2253" t="str">
        <f>S48&amp;".1"</f>
        <v>1.1.1.1.1</v>
      </c>
      <c r="J49" s="1270"/>
      <c r="K49" s="1270"/>
      <c r="L49" s="1273" t="s">
        <v>409</v>
      </c>
      <c r="M49" s="447"/>
      <c r="N49" s="447"/>
      <c r="O49" s="447"/>
      <c r="P49" s="2255">
        <v>1</v>
      </c>
      <c r="Q49" s="1258"/>
      <c r="R49" s="293"/>
      <c r="S49" s="972"/>
      <c r="T49" s="1310"/>
      <c r="U49" s="1311"/>
      <c r="V49" s="2292"/>
      <c r="W49" s="2292"/>
      <c r="X49" s="2292"/>
      <c r="Y49" s="2292"/>
      <c r="Z49" s="2292"/>
      <c r="AA49" s="2293"/>
      <c r="AB49" s="2291"/>
      <c r="AC49" s="2292"/>
      <c r="AD49" s="2292"/>
      <c r="AE49" s="2292"/>
      <c r="AF49" s="2292"/>
      <c r="AG49" s="2292"/>
      <c r="AH49" s="2292"/>
      <c r="AI49" s="2292"/>
      <c r="AJ49" s="2292"/>
      <c r="AK49" s="2292"/>
      <c r="AL49" s="2292"/>
      <c r="AM49" s="2292"/>
      <c r="AN49" s="2292"/>
      <c r="AO49" s="2292"/>
      <c r="AP49" s="2292"/>
      <c r="AQ49" s="2292"/>
      <c r="AR49" s="2292"/>
      <c r="AS49" s="2292"/>
      <c r="AT49" s="2293"/>
      <c r="AU49" s="1312"/>
      <c r="AW49" s="437"/>
      <c r="AX49" s="437" t="str">
        <f t="shared" si="2"/>
        <v/>
      </c>
      <c r="AY49" s="437"/>
      <c r="AZ49" s="437"/>
      <c r="BA49" s="448">
        <v>1</v>
      </c>
    </row>
    <row r="50" spans="1:53" s="1569" customFormat="1" ht="1.1499999999999999" customHeight="1">
      <c r="A50" s="1270" t="s">
        <v>206</v>
      </c>
      <c r="B50" s="1270" t="s">
        <v>207</v>
      </c>
      <c r="C50" s="1270" t="s">
        <v>208</v>
      </c>
      <c r="D50" s="1270" t="s">
        <v>209</v>
      </c>
      <c r="E50" s="2252"/>
      <c r="F50" s="2252"/>
      <c r="G50" s="2252"/>
      <c r="H50" s="2252"/>
      <c r="I50" s="2254"/>
      <c r="J50" s="2253" t="str">
        <f>S48&amp;".1"</f>
        <v>1.1.1.1.1</v>
      </c>
      <c r="K50" s="1270"/>
      <c r="L50" s="1273"/>
      <c r="M50" s="447"/>
      <c r="N50" s="447"/>
      <c r="O50" s="447"/>
      <c r="P50" s="2255"/>
      <c r="Q50" s="2255">
        <v>1</v>
      </c>
      <c r="R50" s="294"/>
      <c r="S50" s="972"/>
      <c r="T50" s="1326"/>
      <c r="U50" s="1311"/>
      <c r="V50" s="2292"/>
      <c r="W50" s="2292"/>
      <c r="X50" s="2292"/>
      <c r="Y50" s="2292"/>
      <c r="Z50" s="2292"/>
      <c r="AA50" s="2293"/>
      <c r="AB50" s="2291"/>
      <c r="AC50" s="2292"/>
      <c r="AD50" s="2292"/>
      <c r="AE50" s="2292"/>
      <c r="AF50" s="2292"/>
      <c r="AG50" s="2292"/>
      <c r="AH50" s="2292"/>
      <c r="AI50" s="2292"/>
      <c r="AJ50" s="2292"/>
      <c r="AK50" s="2292"/>
      <c r="AL50" s="2292"/>
      <c r="AM50" s="2292"/>
      <c r="AN50" s="2292"/>
      <c r="AO50" s="2292"/>
      <c r="AP50" s="2292"/>
      <c r="AQ50" s="2292"/>
      <c r="AR50" s="2292"/>
      <c r="AS50" s="2292"/>
      <c r="AT50" s="2293"/>
      <c r="AU50" s="1312"/>
      <c r="AW50" s="437"/>
      <c r="AX50" s="437" t="str">
        <f t="shared" si="2"/>
        <v/>
      </c>
      <c r="AY50" s="437"/>
      <c r="AZ50" s="437"/>
      <c r="BA50" s="448">
        <v>1</v>
      </c>
    </row>
    <row r="51" spans="1:53" ht="21.95" customHeight="1">
      <c r="A51" s="1290" t="s">
        <v>206</v>
      </c>
      <c r="B51" s="1290" t="s">
        <v>207</v>
      </c>
      <c r="C51" s="1290" t="s">
        <v>208</v>
      </c>
      <c r="D51" s="1290" t="s">
        <v>209</v>
      </c>
      <c r="E51" s="2252"/>
      <c r="F51" s="2252"/>
      <c r="G51" s="2252"/>
      <c r="H51" s="2252"/>
      <c r="I51" s="2254"/>
      <c r="J51" s="2254"/>
      <c r="K51" s="2253" t="str">
        <f>S48&amp;".1"</f>
        <v>1.1.1.1.1</v>
      </c>
      <c r="L51" s="1291"/>
      <c r="P51" s="2255"/>
      <c r="Q51" s="2255"/>
      <c r="R51" s="294">
        <v>1</v>
      </c>
      <c r="S51" s="2317" t="str">
        <f>$K51</f>
        <v>1.1.1.1.1</v>
      </c>
      <c r="T51" s="2314" t="s">
        <v>486</v>
      </c>
      <c r="U51" s="238"/>
      <c r="V51" s="688"/>
      <c r="W51" s="1184"/>
      <c r="X51" s="1660"/>
      <c r="Y51" s="1386" t="s">
        <v>66</v>
      </c>
      <c r="Z51" s="1660"/>
      <c r="AA51" s="1386" t="s">
        <v>66</v>
      </c>
      <c r="AB51" s="2126" t="s">
        <v>19</v>
      </c>
      <c r="AC51" s="2313"/>
      <c r="AD51" s="2208">
        <v>1</v>
      </c>
      <c r="AE51" s="2305" t="s">
        <v>28</v>
      </c>
      <c r="AF51" s="2126" t="s">
        <v>19</v>
      </c>
      <c r="AG51" s="2313"/>
      <c r="AH51" s="2208">
        <v>1</v>
      </c>
      <c r="AI51" s="2305" t="s">
        <v>28</v>
      </c>
      <c r="AJ51" s="2126" t="s">
        <v>19</v>
      </c>
      <c r="AK51" s="249"/>
      <c r="AL51" s="1264">
        <v>1</v>
      </c>
      <c r="AM51" s="1329"/>
      <c r="AN51" s="688">
        <v>120.708</v>
      </c>
      <c r="AO51" s="1184">
        <v>100.59</v>
      </c>
      <c r="AP51" s="2015">
        <v>46023</v>
      </c>
      <c r="AQ51" s="1386" t="s">
        <v>66</v>
      </c>
      <c r="AR51" s="2015">
        <v>46387</v>
      </c>
      <c r="AS51" s="1386" t="s">
        <v>66</v>
      </c>
      <c r="AT51" s="1275"/>
      <c r="AU51" s="2274" t="s">
        <v>487</v>
      </c>
      <c r="AV51" s="448" t="e">
        <f ca="1">STRCHECKDATE(V54:AT54)</f>
        <v>#NAME?</v>
      </c>
      <c r="AW51" s="437"/>
      <c r="AX51" s="437" t="str">
        <f t="shared" si="2"/>
        <v>П1</v>
      </c>
      <c r="AY51" s="437"/>
      <c r="AZ51" s="437"/>
      <c r="BA51" s="1082">
        <v>21</v>
      </c>
    </row>
    <row r="52" spans="1:53" ht="11.45" customHeight="1">
      <c r="A52" s="1290" t="s">
        <v>206</v>
      </c>
      <c r="B52" s="1290"/>
      <c r="C52" s="1290"/>
      <c r="D52" s="1290"/>
      <c r="E52" s="2252"/>
      <c r="F52" s="2252"/>
      <c r="G52" s="2252"/>
      <c r="H52" s="2252"/>
      <c r="I52" s="2254"/>
      <c r="J52" s="2254"/>
      <c r="K52" s="2253"/>
      <c r="L52" s="1291"/>
      <c r="P52" s="2255"/>
      <c r="Q52" s="2255"/>
      <c r="R52" s="294"/>
      <c r="S52" s="2318"/>
      <c r="T52" s="2315"/>
      <c r="U52" s="238"/>
      <c r="V52" s="1320"/>
      <c r="W52" s="1423"/>
      <c r="X52" s="1320"/>
      <c r="Y52" s="1320"/>
      <c r="Z52" s="1320"/>
      <c r="AA52" s="1320"/>
      <c r="AB52" s="2126"/>
      <c r="AC52" s="2313"/>
      <c r="AD52" s="2208"/>
      <c r="AE52" s="2305"/>
      <c r="AF52" s="2126"/>
      <c r="AG52" s="2313"/>
      <c r="AH52" s="2208"/>
      <c r="AI52" s="2305"/>
      <c r="AJ52" s="2126"/>
      <c r="AK52" s="254"/>
      <c r="AL52" s="353"/>
      <c r="AM52" s="352" t="s">
        <v>470</v>
      </c>
      <c r="AN52" s="1320"/>
      <c r="AO52" s="1423"/>
      <c r="AP52" s="1320"/>
      <c r="AQ52" s="1320"/>
      <c r="AR52" s="1320"/>
      <c r="AS52" s="1320"/>
      <c r="AT52" s="1317"/>
      <c r="AU52" s="2275"/>
      <c r="AW52" s="437"/>
      <c r="AX52" s="437"/>
      <c r="AY52" s="437"/>
      <c r="AZ52" s="437"/>
      <c r="BA52" s="1082">
        <v>11</v>
      </c>
    </row>
    <row r="53" spans="1:53" ht="11.45" customHeight="1">
      <c r="A53" s="1290" t="s">
        <v>206</v>
      </c>
      <c r="B53" s="1290"/>
      <c r="C53" s="1290"/>
      <c r="D53" s="1290"/>
      <c r="E53" s="2252"/>
      <c r="F53" s="2252"/>
      <c r="G53" s="2252"/>
      <c r="H53" s="2252"/>
      <c r="I53" s="2254"/>
      <c r="J53" s="2254"/>
      <c r="K53" s="2253"/>
      <c r="L53" s="1291"/>
      <c r="P53" s="2255"/>
      <c r="Q53" s="2255"/>
      <c r="R53" s="294"/>
      <c r="S53" s="2318"/>
      <c r="T53" s="2315"/>
      <c r="U53" s="238"/>
      <c r="V53" s="1320"/>
      <c r="W53" s="1423"/>
      <c r="X53" s="1320"/>
      <c r="Y53" s="1320"/>
      <c r="Z53" s="1320"/>
      <c r="AA53" s="1320"/>
      <c r="AB53" s="2126"/>
      <c r="AC53" s="2313"/>
      <c r="AD53" s="2208"/>
      <c r="AE53" s="2305"/>
      <c r="AF53" s="2126"/>
      <c r="AG53" s="232"/>
      <c r="AH53" s="352"/>
      <c r="AI53" s="352" t="s">
        <v>471</v>
      </c>
      <c r="AJ53" s="1320"/>
      <c r="AK53" s="1320"/>
      <c r="AL53" s="1320"/>
      <c r="AM53" s="1320"/>
      <c r="AN53" s="1320"/>
      <c r="AO53" s="1423"/>
      <c r="AP53" s="1320"/>
      <c r="AQ53" s="1320"/>
      <c r="AR53" s="1320"/>
      <c r="AS53" s="1320"/>
      <c r="AT53" s="1317"/>
      <c r="AU53" s="2275"/>
      <c r="AW53" s="437"/>
      <c r="AX53" s="437"/>
      <c r="AY53" s="437"/>
      <c r="AZ53" s="437"/>
      <c r="BA53" s="1082">
        <v>11</v>
      </c>
    </row>
    <row r="54" spans="1:53" ht="11.45" customHeight="1">
      <c r="A54" s="1290" t="s">
        <v>206</v>
      </c>
      <c r="B54" s="1290" t="s">
        <v>207</v>
      </c>
      <c r="C54" s="1290" t="s">
        <v>208</v>
      </c>
      <c r="D54" s="1290" t="s">
        <v>209</v>
      </c>
      <c r="E54" s="2252"/>
      <c r="F54" s="2252"/>
      <c r="G54" s="2252"/>
      <c r="H54" s="2252"/>
      <c r="I54" s="2254"/>
      <c r="J54" s="2254"/>
      <c r="K54" s="2253"/>
      <c r="L54" s="1291"/>
      <c r="P54" s="2255"/>
      <c r="Q54" s="2255"/>
      <c r="R54" s="294"/>
      <c r="S54" s="2319"/>
      <c r="T54" s="2316"/>
      <c r="U54" s="238"/>
      <c r="V54" s="1320"/>
      <c r="W54" s="1321" t="str">
        <f>X51&amp;"-"&amp;Z51</f>
        <v>-</v>
      </c>
      <c r="X54" s="1320"/>
      <c r="Y54" s="1320"/>
      <c r="Z54" s="1320"/>
      <c r="AA54" s="1320"/>
      <c r="AB54" s="2126"/>
      <c r="AC54" s="250"/>
      <c r="AD54" s="252"/>
      <c r="AE54" s="352" t="s">
        <v>472</v>
      </c>
      <c r="AF54" s="1320"/>
      <c r="AG54" s="1320"/>
      <c r="AH54" s="1320"/>
      <c r="AI54" s="1320"/>
      <c r="AJ54" s="1320"/>
      <c r="AK54" s="1320"/>
      <c r="AL54" s="1320"/>
      <c r="AM54" s="1320"/>
      <c r="AN54" s="1320"/>
      <c r="AO54" s="1321" t="str">
        <f>AP51&amp;"-"&amp;AR51</f>
        <v>46023-46387</v>
      </c>
      <c r="AP54" s="1320"/>
      <c r="AQ54" s="1320"/>
      <c r="AR54" s="1320"/>
      <c r="AS54" s="1320"/>
      <c r="AT54" s="1276"/>
      <c r="AU54" s="2275"/>
      <c r="AW54" s="437"/>
      <c r="AX54" s="437" t="str">
        <f>IF(T54="","",T54)</f>
        <v/>
      </c>
      <c r="AY54" s="437"/>
      <c r="AZ54" s="437"/>
      <c r="BA54" s="1082">
        <v>11</v>
      </c>
    </row>
    <row r="55" spans="1:53" ht="14.25" customHeight="1">
      <c r="A55" s="1290"/>
      <c r="B55" s="1290"/>
      <c r="C55" s="1290"/>
      <c r="D55" s="1290"/>
      <c r="E55" s="2252"/>
      <c r="F55" s="2252"/>
      <c r="G55" s="2252"/>
      <c r="H55" s="2252"/>
      <c r="I55" s="2254"/>
      <c r="J55" s="2254"/>
      <c r="K55" s="2253" t="str">
        <f>S48&amp;".2"</f>
        <v>1.1.1.1.2</v>
      </c>
      <c r="L55" s="1296"/>
      <c r="P55" s="2255"/>
      <c r="Q55" s="2255"/>
      <c r="R55" s="2328" t="s">
        <v>451</v>
      </c>
      <c r="S55" s="2317" t="str">
        <f>$K55</f>
        <v>1.1.1.1.2</v>
      </c>
      <c r="T55" s="2314" t="s">
        <v>488</v>
      </c>
      <c r="U55" s="238"/>
      <c r="V55" s="688"/>
      <c r="W55" s="1184"/>
      <c r="X55" s="2256"/>
      <c r="Y55" s="2126" t="s">
        <v>66</v>
      </c>
      <c r="Z55" s="2256"/>
      <c r="AA55" s="2126" t="s">
        <v>66</v>
      </c>
      <c r="AB55" s="2126" t="s">
        <v>19</v>
      </c>
      <c r="AC55" s="2313"/>
      <c r="AD55" s="2208">
        <v>1</v>
      </c>
      <c r="AE55" s="2305" t="s">
        <v>28</v>
      </c>
      <c r="AF55" s="2126" t="s">
        <v>66</v>
      </c>
      <c r="AG55" s="2313"/>
      <c r="AH55" s="2208">
        <v>1</v>
      </c>
      <c r="AI55" s="2329" t="s">
        <v>489</v>
      </c>
      <c r="AJ55" s="2126" t="s">
        <v>66</v>
      </c>
      <c r="AK55" s="249"/>
      <c r="AL55" s="2011">
        <v>1</v>
      </c>
      <c r="AM55" s="2057" t="s">
        <v>490</v>
      </c>
      <c r="AN55" s="688">
        <v>267.60000000000002</v>
      </c>
      <c r="AO55" s="1184">
        <v>223</v>
      </c>
      <c r="AP55" s="2015">
        <v>46023</v>
      </c>
      <c r="AQ55" s="1999" t="s">
        <v>66</v>
      </c>
      <c r="AR55" s="2015">
        <v>46387</v>
      </c>
      <c r="AS55" s="1999" t="s">
        <v>66</v>
      </c>
      <c r="AT55" s="1275"/>
      <c r="AU55" s="2274" t="s">
        <v>469</v>
      </c>
      <c r="AV55" s="1569" t="e">
        <f ca="1">STRCHECKDATE(V58:AT58)</f>
        <v>#NAME?</v>
      </c>
      <c r="AW55" s="1551"/>
      <c r="AX55" s="1551" t="str">
        <f>IF(T55="","",T55)</f>
        <v>П2.1</v>
      </c>
      <c r="AY55" s="1551"/>
      <c r="AZ55" s="1551"/>
      <c r="BA55" s="1562">
        <v>0</v>
      </c>
    </row>
    <row r="56" spans="1:53" ht="14.25" hidden="1" customHeight="1">
      <c r="A56" s="1290"/>
      <c r="B56" s="1290"/>
      <c r="C56" s="1290"/>
      <c r="D56" s="1290"/>
      <c r="E56" s="2252"/>
      <c r="F56" s="2252"/>
      <c r="G56" s="2252"/>
      <c r="H56" s="2252"/>
      <c r="I56" s="2254"/>
      <c r="J56" s="2254"/>
      <c r="K56" s="2253" t="str">
        <f>S48&amp;".1"</f>
        <v>1.1.1.1.1</v>
      </c>
      <c r="L56" s="1296"/>
      <c r="P56" s="2255"/>
      <c r="Q56" s="2255"/>
      <c r="R56" s="2320"/>
      <c r="S56" s="2318"/>
      <c r="T56" s="2315"/>
      <c r="U56" s="238"/>
      <c r="V56" s="2058"/>
      <c r="W56" s="2059"/>
      <c r="X56" s="2256"/>
      <c r="Y56" s="2126"/>
      <c r="Z56" s="2256"/>
      <c r="AA56" s="2126"/>
      <c r="AB56" s="2126"/>
      <c r="AC56" s="2313"/>
      <c r="AD56" s="2208"/>
      <c r="AE56" s="2305" t="s">
        <v>28</v>
      </c>
      <c r="AF56" s="2126"/>
      <c r="AG56" s="2313"/>
      <c r="AH56" s="2208"/>
      <c r="AI56" s="2329"/>
      <c r="AJ56" s="2126"/>
      <c r="AK56" s="2060"/>
      <c r="AL56" s="2061"/>
      <c r="AM56" s="2062" t="s">
        <v>470</v>
      </c>
      <c r="AN56" s="2058"/>
      <c r="AO56" s="2063"/>
      <c r="AP56" s="2058"/>
      <c r="AQ56" s="2058"/>
      <c r="AR56" s="2058"/>
      <c r="AS56" s="2058"/>
      <c r="AT56" s="1317"/>
      <c r="AU56" s="2275"/>
      <c r="AW56" s="1551"/>
      <c r="AX56" s="1551"/>
      <c r="AY56" s="1551"/>
      <c r="AZ56" s="1551"/>
      <c r="BA56" s="1562">
        <v>0</v>
      </c>
    </row>
    <row r="57" spans="1:53" ht="14.25" customHeight="1">
      <c r="A57" s="1290"/>
      <c r="B57" s="1290"/>
      <c r="C57" s="1290"/>
      <c r="D57" s="1290"/>
      <c r="E57" s="2252"/>
      <c r="F57" s="2252"/>
      <c r="G57" s="2252"/>
      <c r="H57" s="2252"/>
      <c r="I57" s="2254"/>
      <c r="J57" s="2254"/>
      <c r="K57" s="2253" t="str">
        <f>S48&amp;".1"</f>
        <v>1.1.1.1.1</v>
      </c>
      <c r="L57" s="1296"/>
      <c r="P57" s="2255"/>
      <c r="Q57" s="2255"/>
      <c r="R57" s="2320"/>
      <c r="S57" s="2318"/>
      <c r="T57" s="2315"/>
      <c r="U57" s="238"/>
      <c r="V57" s="2058"/>
      <c r="W57" s="2059"/>
      <c r="X57" s="2256"/>
      <c r="Y57" s="2126"/>
      <c r="Z57" s="2256"/>
      <c r="AA57" s="2126"/>
      <c r="AB57" s="2126"/>
      <c r="AC57" s="2313"/>
      <c r="AD57" s="2208"/>
      <c r="AE57" s="2305" t="s">
        <v>28</v>
      </c>
      <c r="AF57" s="2126"/>
      <c r="AG57" s="2064"/>
      <c r="AH57" s="2065"/>
      <c r="AI57" s="2066" t="s">
        <v>471</v>
      </c>
      <c r="AJ57" s="2058"/>
      <c r="AK57" s="2058"/>
      <c r="AL57" s="2058"/>
      <c r="AM57" s="2058"/>
      <c r="AN57" s="2058"/>
      <c r="AO57" s="2063"/>
      <c r="AP57" s="2058"/>
      <c r="AQ57" s="2058"/>
      <c r="AR57" s="2058"/>
      <c r="AS57" s="2058"/>
      <c r="AT57" s="1317"/>
      <c r="AU57" s="2275"/>
      <c r="AW57" s="1551"/>
      <c r="AX57" s="1551"/>
      <c r="AY57" s="1551"/>
      <c r="AZ57" s="1551"/>
      <c r="BA57" s="1562">
        <v>0</v>
      </c>
    </row>
    <row r="58" spans="1:53" ht="14.25" customHeight="1">
      <c r="A58" s="1290"/>
      <c r="B58" s="1290"/>
      <c r="C58" s="1290"/>
      <c r="D58" s="1290"/>
      <c r="E58" s="2252"/>
      <c r="F58" s="2252"/>
      <c r="G58" s="2252"/>
      <c r="H58" s="2252"/>
      <c r="I58" s="2254"/>
      <c r="J58" s="2254"/>
      <c r="K58" s="2253" t="str">
        <f>S48&amp;".1"</f>
        <v>1.1.1.1.1</v>
      </c>
      <c r="L58" s="1296"/>
      <c r="P58" s="2255"/>
      <c r="Q58" s="2255"/>
      <c r="R58" s="2320"/>
      <c r="S58" s="2319"/>
      <c r="T58" s="2316"/>
      <c r="U58" s="238"/>
      <c r="V58" s="2058"/>
      <c r="W58" s="2067" t="str">
        <f>X55&amp;"-"&amp;Z55</f>
        <v>-</v>
      </c>
      <c r="X58" s="2257"/>
      <c r="Y58" s="2126"/>
      <c r="Z58" s="2257"/>
      <c r="AA58" s="2126"/>
      <c r="AB58" s="2126"/>
      <c r="AC58" s="2068"/>
      <c r="AD58" s="2069"/>
      <c r="AE58" s="2070" t="s">
        <v>472</v>
      </c>
      <c r="AF58" s="2058"/>
      <c r="AG58" s="2058"/>
      <c r="AH58" s="2058"/>
      <c r="AI58" s="2058"/>
      <c r="AJ58" s="2058"/>
      <c r="AK58" s="2058"/>
      <c r="AL58" s="2058"/>
      <c r="AM58" s="2058"/>
      <c r="AN58" s="2058"/>
      <c r="AO58" s="2071" t="str">
        <f>AP55&amp;"-"&amp;AR55</f>
        <v>46023-46387</v>
      </c>
      <c r="AP58" s="2058"/>
      <c r="AQ58" s="2058"/>
      <c r="AR58" s="2058"/>
      <c r="AS58" s="2058"/>
      <c r="AT58" s="1276"/>
      <c r="AU58" s="2275"/>
      <c r="AW58" s="1551"/>
      <c r="AX58" s="1551" t="str">
        <f>IF(T58="","",T58)</f>
        <v/>
      </c>
      <c r="AY58" s="1551"/>
      <c r="AZ58" s="1551"/>
      <c r="BA58" s="1562">
        <v>0</v>
      </c>
    </row>
    <row r="59" spans="1:53" ht="14.25" customHeight="1">
      <c r="A59" s="1290"/>
      <c r="B59" s="1290"/>
      <c r="C59" s="1290"/>
      <c r="D59" s="1290"/>
      <c r="E59" s="2252"/>
      <c r="F59" s="2252"/>
      <c r="G59" s="2252"/>
      <c r="H59" s="2252"/>
      <c r="I59" s="2254"/>
      <c r="J59" s="2254"/>
      <c r="K59" s="2253" t="str">
        <f>S48&amp;".3"</f>
        <v>1.1.1.1.3</v>
      </c>
      <c r="L59" s="1296"/>
      <c r="P59" s="2255"/>
      <c r="Q59" s="2255"/>
      <c r="R59" s="2328" t="s">
        <v>451</v>
      </c>
      <c r="S59" s="2317" t="str">
        <f>$K59</f>
        <v>1.1.1.1.3</v>
      </c>
      <c r="T59" s="2314" t="s">
        <v>491</v>
      </c>
      <c r="U59" s="238"/>
      <c r="V59" s="688"/>
      <c r="W59" s="1184"/>
      <c r="X59" s="2256"/>
      <c r="Y59" s="2126" t="s">
        <v>66</v>
      </c>
      <c r="Z59" s="2256"/>
      <c r="AA59" s="2126" t="s">
        <v>66</v>
      </c>
      <c r="AB59" s="2126" t="s">
        <v>19</v>
      </c>
      <c r="AC59" s="2313"/>
      <c r="AD59" s="2208">
        <v>1</v>
      </c>
      <c r="AE59" s="2305" t="s">
        <v>28</v>
      </c>
      <c r="AF59" s="2126" t="s">
        <v>66</v>
      </c>
      <c r="AG59" s="2313"/>
      <c r="AH59" s="2208">
        <v>1</v>
      </c>
      <c r="AI59" s="2329" t="s">
        <v>492</v>
      </c>
      <c r="AJ59" s="2126" t="s">
        <v>66</v>
      </c>
      <c r="AK59" s="249"/>
      <c r="AL59" s="2011">
        <v>1</v>
      </c>
      <c r="AM59" s="2057" t="s">
        <v>490</v>
      </c>
      <c r="AN59" s="688">
        <v>12916.944</v>
      </c>
      <c r="AO59" s="1184">
        <v>10764.12</v>
      </c>
      <c r="AP59" s="2015">
        <v>46023</v>
      </c>
      <c r="AQ59" s="1999" t="s">
        <v>66</v>
      </c>
      <c r="AR59" s="2015">
        <v>46387</v>
      </c>
      <c r="AS59" s="1999" t="s">
        <v>66</v>
      </c>
      <c r="AT59" s="1275"/>
      <c r="AU59" s="2274" t="s">
        <v>469</v>
      </c>
      <c r="AV59" s="1569" t="e">
        <f ca="1">STRCHECKDATE(V62:AT62)</f>
        <v>#NAME?</v>
      </c>
      <c r="AW59" s="1551"/>
      <c r="AX59" s="1551" t="str">
        <f>IF(T59="","",T59)</f>
        <v>П2.2</v>
      </c>
      <c r="AY59" s="1551"/>
      <c r="AZ59" s="1551"/>
      <c r="BA59" s="1562">
        <v>0</v>
      </c>
    </row>
    <row r="60" spans="1:53" ht="14.25" hidden="1" customHeight="1">
      <c r="A60" s="1290"/>
      <c r="B60" s="1290"/>
      <c r="C60" s="1290"/>
      <c r="D60" s="1290"/>
      <c r="E60" s="2252"/>
      <c r="F60" s="2252"/>
      <c r="G60" s="2252"/>
      <c r="H60" s="2252"/>
      <c r="I60" s="2254"/>
      <c r="J60" s="2254"/>
      <c r="K60" s="2253" t="str">
        <f>S48&amp;".2"</f>
        <v>1.1.1.1.2</v>
      </c>
      <c r="L60" s="1296"/>
      <c r="P60" s="2255"/>
      <c r="Q60" s="2255"/>
      <c r="R60" s="2320"/>
      <c r="S60" s="2318"/>
      <c r="T60" s="2315"/>
      <c r="U60" s="238"/>
      <c r="V60" s="2058"/>
      <c r="W60" s="2059"/>
      <c r="X60" s="2256"/>
      <c r="Y60" s="2126"/>
      <c r="Z60" s="2256"/>
      <c r="AA60" s="2126"/>
      <c r="AB60" s="2126"/>
      <c r="AC60" s="2313"/>
      <c r="AD60" s="2208"/>
      <c r="AE60" s="2305" t="s">
        <v>28</v>
      </c>
      <c r="AF60" s="2126"/>
      <c r="AG60" s="2313"/>
      <c r="AH60" s="2208"/>
      <c r="AI60" s="2329"/>
      <c r="AJ60" s="2126"/>
      <c r="AK60" s="2060"/>
      <c r="AL60" s="2061"/>
      <c r="AM60" s="2072" t="s">
        <v>470</v>
      </c>
      <c r="AN60" s="2058"/>
      <c r="AO60" s="2063"/>
      <c r="AP60" s="2058"/>
      <c r="AQ60" s="2058"/>
      <c r="AR60" s="2058"/>
      <c r="AS60" s="2058"/>
      <c r="AT60" s="1317"/>
      <c r="AU60" s="2275"/>
      <c r="AW60" s="1551"/>
      <c r="AX60" s="1551"/>
      <c r="AY60" s="1551"/>
      <c r="AZ60" s="1551"/>
      <c r="BA60" s="1562">
        <v>0</v>
      </c>
    </row>
    <row r="61" spans="1:53" ht="14.25" customHeight="1">
      <c r="A61" s="1290"/>
      <c r="B61" s="1290"/>
      <c r="C61" s="1290"/>
      <c r="D61" s="1290"/>
      <c r="E61" s="2252"/>
      <c r="F61" s="2252"/>
      <c r="G61" s="2252"/>
      <c r="H61" s="2252"/>
      <c r="I61" s="2254"/>
      <c r="J61" s="2254"/>
      <c r="K61" s="2253" t="str">
        <f>S58&amp;".1"</f>
        <v>.1</v>
      </c>
      <c r="L61" s="1296"/>
      <c r="P61" s="2255"/>
      <c r="Q61" s="2255"/>
      <c r="R61" s="2320">
        <v>1</v>
      </c>
      <c r="S61" s="2317" t="str">
        <f>$K61</f>
        <v>.1</v>
      </c>
      <c r="T61" s="2314"/>
      <c r="U61" s="238"/>
      <c r="V61" s="688"/>
      <c r="W61" s="1184"/>
      <c r="X61" s="2256"/>
      <c r="Y61" s="2126" t="s">
        <v>66</v>
      </c>
      <c r="Z61" s="2256"/>
      <c r="AA61" s="2126" t="s">
        <v>66</v>
      </c>
      <c r="AB61" s="2126" t="s">
        <v>19</v>
      </c>
      <c r="AC61" s="2313"/>
      <c r="AD61" s="2208">
        <v>1</v>
      </c>
      <c r="AE61" s="2327"/>
      <c r="AF61" s="2126" t="s">
        <v>19</v>
      </c>
      <c r="AG61" s="2328" t="s">
        <v>451</v>
      </c>
      <c r="AH61" s="2208" t="s">
        <v>111</v>
      </c>
      <c r="AI61" s="2327" t="s">
        <v>492</v>
      </c>
      <c r="AJ61" s="2126" t="s">
        <v>66</v>
      </c>
      <c r="AK61" s="249"/>
      <c r="AL61" s="2011">
        <v>1</v>
      </c>
      <c r="AM61" s="2057" t="s">
        <v>493</v>
      </c>
      <c r="AN61" s="688">
        <v>13813.2</v>
      </c>
      <c r="AO61" s="1184">
        <v>11511.09</v>
      </c>
      <c r="AP61" s="2015">
        <v>46023</v>
      </c>
      <c r="AQ61" s="1999" t="s">
        <v>66</v>
      </c>
      <c r="AR61" s="2015">
        <v>46387</v>
      </c>
      <c r="AS61" s="1999" t="s">
        <v>66</v>
      </c>
      <c r="AT61" s="1275"/>
      <c r="AU61" s="2274" t="s">
        <v>469</v>
      </c>
      <c r="AV61" s="1569" t="e">
        <f ca="1">STRCHECKDATE(V64:AT64)</f>
        <v>#NAME?</v>
      </c>
      <c r="AW61" s="1551"/>
      <c r="AX61" s="1551" t="str">
        <f>IF(T61="","",T61)</f>
        <v/>
      </c>
      <c r="AY61" s="1551"/>
      <c r="AZ61" s="1551"/>
      <c r="BA61" s="1562">
        <v>0</v>
      </c>
    </row>
    <row r="62" spans="1:53" ht="14.25" customHeight="1">
      <c r="A62" s="1290"/>
      <c r="B62" s="1290"/>
      <c r="C62" s="1290"/>
      <c r="D62" s="1290"/>
      <c r="E62" s="2252"/>
      <c r="F62" s="2252"/>
      <c r="G62" s="2252"/>
      <c r="H62" s="2252"/>
      <c r="I62" s="2254"/>
      <c r="J62" s="2254"/>
      <c r="K62" s="2253"/>
      <c r="L62" s="1296"/>
      <c r="P62" s="2255"/>
      <c r="Q62" s="2255"/>
      <c r="R62" s="2320"/>
      <c r="S62" s="2318"/>
      <c r="T62" s="2315"/>
      <c r="U62" s="238"/>
      <c r="V62" s="2058"/>
      <c r="W62" s="2059"/>
      <c r="X62" s="2256"/>
      <c r="Y62" s="2126"/>
      <c r="Z62" s="2256"/>
      <c r="AA62" s="2126"/>
      <c r="AB62" s="2126"/>
      <c r="AC62" s="2313"/>
      <c r="AD62" s="2208"/>
      <c r="AE62" s="2327"/>
      <c r="AF62" s="2126"/>
      <c r="AG62" s="2313"/>
      <c r="AH62" s="2208">
        <v>1</v>
      </c>
      <c r="AI62" s="2327"/>
      <c r="AJ62" s="2126"/>
      <c r="AK62" s="2060"/>
      <c r="AL62" s="2061"/>
      <c r="AM62" s="2073" t="s">
        <v>470</v>
      </c>
      <c r="AN62" s="2058"/>
      <c r="AO62" s="2063"/>
      <c r="AP62" s="2058"/>
      <c r="AQ62" s="2058"/>
      <c r="AR62" s="2058"/>
      <c r="AS62" s="2058"/>
      <c r="AT62" s="1317"/>
      <c r="AU62" s="2275"/>
      <c r="AW62" s="1551"/>
      <c r="AX62" s="1551"/>
      <c r="AY62" s="1551"/>
      <c r="AZ62" s="1551"/>
      <c r="BA62" s="1562">
        <v>0</v>
      </c>
    </row>
    <row r="63" spans="1:53" ht="14.25" customHeight="1">
      <c r="A63" s="1290"/>
      <c r="B63" s="1290"/>
      <c r="C63" s="1290"/>
      <c r="D63" s="1290"/>
      <c r="E63" s="2252"/>
      <c r="F63" s="2252"/>
      <c r="G63" s="2252"/>
      <c r="H63" s="2252"/>
      <c r="I63" s="2254"/>
      <c r="J63" s="2254"/>
      <c r="K63" s="2253" t="str">
        <f>S48&amp;".2"</f>
        <v>1.1.1.1.2</v>
      </c>
      <c r="L63" s="1296"/>
      <c r="P63" s="2255"/>
      <c r="Q63" s="2255"/>
      <c r="R63" s="2320"/>
      <c r="S63" s="2318"/>
      <c r="T63" s="2315"/>
      <c r="U63" s="238"/>
      <c r="V63" s="2058"/>
      <c r="W63" s="2059"/>
      <c r="X63" s="2256"/>
      <c r="Y63" s="2126"/>
      <c r="Z63" s="2256"/>
      <c r="AA63" s="2126"/>
      <c r="AB63" s="2126"/>
      <c r="AC63" s="2313"/>
      <c r="AD63" s="2208"/>
      <c r="AE63" s="2305" t="s">
        <v>28</v>
      </c>
      <c r="AF63" s="2126"/>
      <c r="AG63" s="2064"/>
      <c r="AH63" s="2065"/>
      <c r="AI63" s="2074" t="s">
        <v>471</v>
      </c>
      <c r="AJ63" s="2058"/>
      <c r="AK63" s="2058"/>
      <c r="AL63" s="2058"/>
      <c r="AM63" s="2058"/>
      <c r="AN63" s="2058"/>
      <c r="AO63" s="2063"/>
      <c r="AP63" s="2058"/>
      <c r="AQ63" s="2058"/>
      <c r="AR63" s="2058"/>
      <c r="AS63" s="2058"/>
      <c r="AT63" s="1317"/>
      <c r="AU63" s="2275"/>
      <c r="AW63" s="1551"/>
      <c r="AX63" s="1551"/>
      <c r="AY63" s="1551"/>
      <c r="AZ63" s="1551"/>
      <c r="BA63" s="1562">
        <v>0</v>
      </c>
    </row>
    <row r="64" spans="1:53" ht="14.25" customHeight="1">
      <c r="A64" s="1290"/>
      <c r="B64" s="1290"/>
      <c r="C64" s="1290"/>
      <c r="D64" s="1290"/>
      <c r="E64" s="2252"/>
      <c r="F64" s="2252"/>
      <c r="G64" s="2252"/>
      <c r="H64" s="2252"/>
      <c r="I64" s="2254"/>
      <c r="J64" s="2254"/>
      <c r="K64" s="2253" t="str">
        <f>S48&amp;".2"</f>
        <v>1.1.1.1.2</v>
      </c>
      <c r="L64" s="1296"/>
      <c r="P64" s="2255"/>
      <c r="Q64" s="2255"/>
      <c r="R64" s="2320"/>
      <c r="S64" s="2319"/>
      <c r="T64" s="2316"/>
      <c r="U64" s="238"/>
      <c r="V64" s="2058"/>
      <c r="W64" s="2075" t="str">
        <f>X59&amp;"-"&amp;Z59</f>
        <v>-</v>
      </c>
      <c r="X64" s="2257"/>
      <c r="Y64" s="2126"/>
      <c r="Z64" s="2257"/>
      <c r="AA64" s="2126"/>
      <c r="AB64" s="2126"/>
      <c r="AC64" s="2068"/>
      <c r="AD64" s="2069"/>
      <c r="AE64" s="2076" t="s">
        <v>472</v>
      </c>
      <c r="AF64" s="2058"/>
      <c r="AG64" s="2058"/>
      <c r="AH64" s="2058"/>
      <c r="AI64" s="2058"/>
      <c r="AJ64" s="2058"/>
      <c r="AK64" s="2058"/>
      <c r="AL64" s="2058"/>
      <c r="AM64" s="2058"/>
      <c r="AN64" s="2058"/>
      <c r="AO64" s="2077" t="str">
        <f>AP59&amp;"-"&amp;AR59</f>
        <v>46023-46387</v>
      </c>
      <c r="AP64" s="2058"/>
      <c r="AQ64" s="2058"/>
      <c r="AR64" s="2058"/>
      <c r="AS64" s="2058"/>
      <c r="AT64" s="1276"/>
      <c r="AU64" s="2275"/>
      <c r="AW64" s="1551"/>
      <c r="AX64" s="1551" t="str">
        <f t="shared" ref="AX64:AX72" si="3">IF(T64="","",T64)</f>
        <v/>
      </c>
      <c r="AY64" s="1551"/>
      <c r="AZ64" s="1551"/>
      <c r="BA64" s="1562">
        <v>0</v>
      </c>
    </row>
    <row r="65" spans="1:53" ht="11.45" customHeight="1">
      <c r="A65" s="1290" t="s">
        <v>206</v>
      </c>
      <c r="B65" s="1290" t="s">
        <v>207</v>
      </c>
      <c r="C65" s="1290" t="s">
        <v>208</v>
      </c>
      <c r="D65" s="1290" t="s">
        <v>209</v>
      </c>
      <c r="E65" s="2252"/>
      <c r="F65" s="2252"/>
      <c r="G65" s="2252"/>
      <c r="H65" s="2252"/>
      <c r="I65" s="2254"/>
      <c r="J65" s="2253"/>
      <c r="K65" s="1290"/>
      <c r="L65" s="1291"/>
      <c r="P65" s="2255"/>
      <c r="Q65" s="2255"/>
      <c r="R65" s="293"/>
      <c r="S65" s="1205"/>
      <c r="T65" s="225" t="s">
        <v>473</v>
      </c>
      <c r="U65" s="304"/>
      <c r="V65" s="304"/>
      <c r="W65" s="304"/>
      <c r="X65" s="304"/>
      <c r="Y65" s="304"/>
      <c r="Z65" s="304"/>
      <c r="AA65" s="262"/>
      <c r="AB65" s="1432"/>
      <c r="AC65" s="304"/>
      <c r="AD65" s="304"/>
      <c r="AE65" s="304"/>
      <c r="AF65" s="304"/>
      <c r="AG65" s="304"/>
      <c r="AH65" s="304"/>
      <c r="AI65" s="304"/>
      <c r="AJ65" s="304"/>
      <c r="AK65" s="304"/>
      <c r="AL65" s="304"/>
      <c r="AM65" s="304"/>
      <c r="AN65" s="304"/>
      <c r="AO65" s="304"/>
      <c r="AP65" s="304"/>
      <c r="AQ65" s="304"/>
      <c r="AR65" s="304"/>
      <c r="AS65" s="304"/>
      <c r="AT65" s="262"/>
      <c r="AU65" s="2276"/>
      <c r="AW65" s="437"/>
      <c r="AX65" s="437" t="str">
        <f t="shared" si="3"/>
        <v>Добавить строку</v>
      </c>
      <c r="AY65" s="437"/>
      <c r="AZ65" s="437"/>
      <c r="BA65" s="1082">
        <v>11</v>
      </c>
    </row>
    <row r="66" spans="1:53" s="1569" customFormat="1" ht="1.1499999999999999" customHeight="1">
      <c r="A66" s="1270" t="s">
        <v>206</v>
      </c>
      <c r="B66" s="1270" t="s">
        <v>207</v>
      </c>
      <c r="C66" s="1270" t="s">
        <v>208</v>
      </c>
      <c r="D66" s="1270" t="s">
        <v>209</v>
      </c>
      <c r="E66" s="2252"/>
      <c r="F66" s="2252"/>
      <c r="G66" s="2252"/>
      <c r="H66" s="2252"/>
      <c r="I66" s="2253"/>
      <c r="J66" s="1270"/>
      <c r="K66" s="1270"/>
      <c r="L66" s="1273"/>
      <c r="M66" s="447"/>
      <c r="N66" s="447"/>
      <c r="O66" s="447"/>
      <c r="P66" s="2255"/>
      <c r="Q66" s="1258"/>
      <c r="R66" s="293"/>
      <c r="S66" s="1313"/>
      <c r="T66" s="1314" t="s">
        <v>418</v>
      </c>
      <c r="U66" s="1315"/>
      <c r="V66" s="1315"/>
      <c r="W66" s="1315"/>
      <c r="X66" s="1315"/>
      <c r="Y66" s="1315"/>
      <c r="Z66" s="1315"/>
      <c r="AA66" s="1315"/>
      <c r="AB66" s="1315"/>
      <c r="AC66" s="1315"/>
      <c r="AD66" s="1315"/>
      <c r="AE66" s="1315"/>
      <c r="AF66" s="1315"/>
      <c r="AG66" s="1315"/>
      <c r="AH66" s="1315"/>
      <c r="AI66" s="1315"/>
      <c r="AJ66" s="1315"/>
      <c r="AK66" s="1315"/>
      <c r="AL66" s="1315"/>
      <c r="AM66" s="1315"/>
      <c r="AN66" s="1315"/>
      <c r="AO66" s="1315"/>
      <c r="AP66" s="1315"/>
      <c r="AQ66" s="1315"/>
      <c r="AR66" s="1315"/>
      <c r="AS66" s="1315"/>
      <c r="AT66" s="1315"/>
      <c r="AU66" s="1316"/>
      <c r="AW66" s="437"/>
      <c r="AX66" s="437" t="str">
        <f t="shared" si="3"/>
        <v>Добавить группу потребителей</v>
      </c>
      <c r="AY66" s="437"/>
      <c r="AZ66" s="437"/>
      <c r="BA66" s="448">
        <v>1</v>
      </c>
    </row>
    <row r="67" spans="1:53" s="1568" customFormat="1" ht="1.1499999999999999" customHeight="1">
      <c r="A67" s="1270" t="s">
        <v>206</v>
      </c>
      <c r="B67" s="1270" t="s">
        <v>207</v>
      </c>
      <c r="C67" s="1270" t="s">
        <v>208</v>
      </c>
      <c r="D67" s="1270" t="s">
        <v>209</v>
      </c>
      <c r="E67" s="2252"/>
      <c r="F67" s="2252"/>
      <c r="G67" s="2252"/>
      <c r="H67" s="2251"/>
      <c r="I67" s="1270"/>
      <c r="J67" s="1270"/>
      <c r="K67" s="1270"/>
      <c r="L67" s="1273"/>
      <c r="M67" s="1242"/>
      <c r="N67" s="1242"/>
      <c r="O67" s="455"/>
      <c r="P67" s="317"/>
      <c r="Q67" s="1271"/>
      <c r="R67" s="1327"/>
      <c r="S67" s="1313"/>
      <c r="T67" s="1314"/>
      <c r="U67" s="1315"/>
      <c r="V67" s="1315"/>
      <c r="W67" s="1315"/>
      <c r="X67" s="1315"/>
      <c r="Y67" s="1315"/>
      <c r="Z67" s="1315"/>
      <c r="AA67" s="1315"/>
      <c r="AB67" s="1315"/>
      <c r="AC67" s="1315"/>
      <c r="AD67" s="1315"/>
      <c r="AE67" s="1315"/>
      <c r="AF67" s="1315"/>
      <c r="AG67" s="1315"/>
      <c r="AH67" s="1315"/>
      <c r="AI67" s="1315"/>
      <c r="AJ67" s="1315"/>
      <c r="AK67" s="1315"/>
      <c r="AL67" s="1315"/>
      <c r="AM67" s="1315"/>
      <c r="AN67" s="1315"/>
      <c r="AO67" s="1315"/>
      <c r="AP67" s="1315"/>
      <c r="AQ67" s="1315"/>
      <c r="AR67" s="1315"/>
      <c r="AS67" s="1315"/>
      <c r="AT67" s="1315"/>
      <c r="AU67" s="1316"/>
      <c r="AV67" s="448"/>
      <c r="AW67" s="437"/>
      <c r="AX67" s="437" t="str">
        <f t="shared" si="3"/>
        <v/>
      </c>
      <c r="AY67" s="437"/>
      <c r="AZ67" s="437"/>
      <c r="BA67" s="433">
        <v>1</v>
      </c>
    </row>
    <row r="68" spans="1:53" s="1569" customFormat="1" ht="1.1499999999999999" customHeight="1">
      <c r="A68" s="1270" t="s">
        <v>206</v>
      </c>
      <c r="B68" s="1270" t="s">
        <v>207</v>
      </c>
      <c r="C68" s="1270" t="s">
        <v>208</v>
      </c>
      <c r="D68" s="1241"/>
      <c r="E68" s="2252"/>
      <c r="F68" s="2252"/>
      <c r="G68" s="2251"/>
      <c r="H68" s="1241"/>
      <c r="I68" s="1241"/>
      <c r="J68" s="1241"/>
      <c r="K68" s="1241"/>
      <c r="L68" s="1266"/>
      <c r="M68" s="1242"/>
      <c r="N68" s="1242"/>
      <c r="P68" s="1243"/>
      <c r="Q68" s="1244"/>
      <c r="R68" s="1243"/>
      <c r="S68" s="1249"/>
      <c r="T68" s="1252" t="s">
        <v>169</v>
      </c>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W68" s="720"/>
      <c r="AX68" s="720" t="str">
        <f t="shared" si="3"/>
        <v>Добавить источник для дифференциации</v>
      </c>
      <c r="AY68" s="720"/>
      <c r="AZ68" s="720"/>
      <c r="BA68" s="455">
        <v>1</v>
      </c>
    </row>
    <row r="69" spans="1:53" s="1569" customFormat="1" ht="1.1499999999999999" customHeight="1">
      <c r="A69" s="1270" t="s">
        <v>206</v>
      </c>
      <c r="B69" s="1270" t="s">
        <v>207</v>
      </c>
      <c r="C69" s="1241"/>
      <c r="D69" s="1241"/>
      <c r="E69" s="2252"/>
      <c r="F69" s="2251"/>
      <c r="G69" s="1241"/>
      <c r="H69" s="1241"/>
      <c r="I69" s="1241"/>
      <c r="J69" s="1241"/>
      <c r="K69" s="1241"/>
      <c r="L69" s="1266"/>
      <c r="M69" s="1248"/>
      <c r="N69" s="1248"/>
      <c r="P69" s="1243"/>
      <c r="Q69" s="1244"/>
      <c r="R69" s="1243"/>
      <c r="S69" s="1249"/>
      <c r="T69" s="1252" t="s">
        <v>170</v>
      </c>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W69" s="720"/>
      <c r="AX69" s="720" t="str">
        <f t="shared" si="3"/>
        <v>Добавить централизованную систему для дифференциации</v>
      </c>
      <c r="AY69" s="720"/>
      <c r="AZ69" s="720"/>
      <c r="BA69" s="455">
        <v>1</v>
      </c>
    </row>
    <row r="70" spans="1:53" s="1569" customFormat="1" ht="1.1499999999999999" customHeight="1">
      <c r="A70" s="1270" t="s">
        <v>206</v>
      </c>
      <c r="B70" s="1270"/>
      <c r="C70" s="1270"/>
      <c r="D70" s="1270"/>
      <c r="E70" s="2252"/>
      <c r="F70" s="1270"/>
      <c r="G70" s="1270"/>
      <c r="H70" s="1270"/>
      <c r="I70" s="1270"/>
      <c r="J70" s="1270"/>
      <c r="K70" s="1270"/>
      <c r="L70" s="1273"/>
      <c r="M70" s="1248"/>
      <c r="N70" s="1248"/>
      <c r="O70" s="455"/>
      <c r="P70" s="317"/>
      <c r="Q70" s="1271"/>
      <c r="R70" s="317"/>
      <c r="S70" s="1249"/>
      <c r="T70" s="1252" t="s">
        <v>171</v>
      </c>
      <c r="U70" s="1251"/>
      <c r="V70" s="1251"/>
      <c r="W70" s="1251"/>
      <c r="X70" s="1251"/>
      <c r="Y70" s="1251"/>
      <c r="Z70" s="1251"/>
      <c r="AA70" s="1251"/>
      <c r="AB70" s="1251"/>
      <c r="AC70" s="1251"/>
      <c r="AD70" s="1251"/>
      <c r="AE70" s="1251"/>
      <c r="AF70" s="1251"/>
      <c r="AG70" s="1251"/>
      <c r="AH70" s="1251"/>
      <c r="AI70" s="1251"/>
      <c r="AJ70" s="1251"/>
      <c r="AK70" s="1251"/>
      <c r="AL70" s="1251"/>
      <c r="AM70" s="1251"/>
      <c r="AN70" s="1251"/>
      <c r="AO70" s="1251"/>
      <c r="AP70" s="1251"/>
      <c r="AQ70" s="1251"/>
      <c r="AR70" s="1251"/>
      <c r="AS70" s="1251"/>
      <c r="AT70" s="1251"/>
      <c r="AU70" s="1251"/>
      <c r="AW70" s="437"/>
      <c r="AX70" s="437" t="str">
        <f t="shared" si="3"/>
        <v>Добавить территорию для дифференциации</v>
      </c>
      <c r="AY70" s="437"/>
      <c r="AZ70" s="437"/>
      <c r="BA70" s="448">
        <v>1</v>
      </c>
    </row>
    <row r="71" spans="1:53" s="1569" customFormat="1" ht="1.1499999999999999" customHeight="1">
      <c r="A71" s="1270" t="s">
        <v>206</v>
      </c>
      <c r="B71" s="1270"/>
      <c r="C71" s="1270"/>
      <c r="D71" s="1270"/>
      <c r="E71" s="2251"/>
      <c r="F71" s="1270"/>
      <c r="G71" s="1270"/>
      <c r="H71" s="1270"/>
      <c r="I71" s="1270"/>
      <c r="J71" s="1270"/>
      <c r="K71" s="1270"/>
      <c r="L71" s="1273"/>
      <c r="M71" s="1248"/>
      <c r="N71" s="1248"/>
      <c r="O71" s="455"/>
      <c r="P71" s="317"/>
      <c r="Q71" s="1271"/>
      <c r="R71" s="317"/>
      <c r="S71" s="1249"/>
      <c r="T71" s="1252" t="s">
        <v>171</v>
      </c>
      <c r="U71" s="1251"/>
      <c r="V71" s="1251"/>
      <c r="W71" s="1251"/>
      <c r="X71" s="1251"/>
      <c r="Y71" s="1251"/>
      <c r="Z71" s="1251"/>
      <c r="AA71" s="1251"/>
      <c r="AB71" s="1251"/>
      <c r="AC71" s="1251"/>
      <c r="AD71" s="1251"/>
      <c r="AE71" s="1251"/>
      <c r="AF71" s="1251"/>
      <c r="AG71" s="1251"/>
      <c r="AH71" s="1251"/>
      <c r="AI71" s="1251"/>
      <c r="AJ71" s="1251"/>
      <c r="AK71" s="1251"/>
      <c r="AL71" s="1251"/>
      <c r="AM71" s="1251"/>
      <c r="AN71" s="1251"/>
      <c r="AO71" s="1251"/>
      <c r="AP71" s="1251"/>
      <c r="AQ71" s="1251"/>
      <c r="AR71" s="1251"/>
      <c r="AS71" s="1251"/>
      <c r="AT71" s="1251"/>
      <c r="AU71" s="1251"/>
      <c r="AW71" s="437"/>
      <c r="AX71" s="437" t="str">
        <f t="shared" si="3"/>
        <v>Добавить территорию для дифференциации</v>
      </c>
      <c r="AY71" s="437"/>
      <c r="AZ71" s="437"/>
      <c r="BA71" s="448">
        <v>1</v>
      </c>
    </row>
    <row r="72" spans="1:53" s="1569" customFormat="1" ht="1.1499999999999999" customHeight="1">
      <c r="A72" s="1241"/>
      <c r="B72" s="1241"/>
      <c r="C72" s="1241"/>
      <c r="D72" s="1241"/>
      <c r="E72" s="1270"/>
      <c r="F72" s="1241"/>
      <c r="G72" s="1241"/>
      <c r="H72" s="1241"/>
      <c r="I72" s="1241"/>
      <c r="J72" s="1241"/>
      <c r="K72" s="1241"/>
      <c r="L72" s="1266"/>
      <c r="M72" s="1248"/>
      <c r="N72" s="1248"/>
      <c r="P72" s="1243"/>
      <c r="Q72" s="1244"/>
      <c r="R72" s="1243"/>
      <c r="S72" s="1249"/>
      <c r="T72" s="1252" t="s">
        <v>172</v>
      </c>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W72" s="720"/>
      <c r="AX72" s="720" t="str">
        <f t="shared" si="3"/>
        <v>Добавить наименование тарифа</v>
      </c>
      <c r="AY72" s="720"/>
      <c r="AZ72" s="720"/>
      <c r="BA72" s="455">
        <v>1</v>
      </c>
    </row>
    <row r="73" spans="1:53" ht="11.45" customHeight="1">
      <c r="M73" s="1087"/>
      <c r="N73" s="1087"/>
      <c r="O73" s="474"/>
      <c r="P73" s="1087"/>
      <c r="Q73" s="1087"/>
      <c r="R73" s="1082"/>
      <c r="S73" s="1082"/>
      <c r="AV73" s="1082"/>
      <c r="AW73" s="1082"/>
      <c r="AX73" s="1082"/>
      <c r="AY73" s="1082"/>
      <c r="AZ73" s="1082"/>
      <c r="BA73" s="1082">
        <v>11</v>
      </c>
    </row>
    <row r="74" spans="1:53" ht="19.899999999999999" customHeight="1">
      <c r="O74" s="474"/>
      <c r="S74" s="1180"/>
      <c r="T74" s="2250"/>
      <c r="U74" s="2250"/>
      <c r="V74" s="2250"/>
      <c r="W74" s="2250"/>
      <c r="X74" s="2250"/>
      <c r="Y74" s="2250"/>
      <c r="Z74" s="2250"/>
      <c r="AA74" s="2250"/>
      <c r="AB74" s="2250"/>
      <c r="AC74" s="2250"/>
      <c r="AD74" s="2250"/>
      <c r="AE74" s="2250"/>
      <c r="AF74" s="2250"/>
      <c r="AG74" s="2250"/>
      <c r="AH74" s="2250"/>
      <c r="AI74" s="2250"/>
      <c r="AJ74" s="2250"/>
      <c r="AK74" s="2250"/>
      <c r="AL74" s="2250"/>
      <c r="AM74" s="2250"/>
      <c r="AN74" s="2250"/>
      <c r="AO74" s="2250"/>
      <c r="AP74" s="2250"/>
      <c r="AQ74" s="2250"/>
      <c r="AR74" s="2250"/>
      <c r="AS74" s="2250"/>
      <c r="AT74" s="2250"/>
      <c r="AU74" s="2250"/>
      <c r="BA74" s="1082">
        <v>19</v>
      </c>
    </row>
    <row r="75" spans="1:53" ht="21" customHeight="1">
      <c r="O75" s="474"/>
      <c r="T75" s="2250"/>
      <c r="U75" s="2250"/>
      <c r="V75" s="2250"/>
      <c r="W75" s="2250"/>
      <c r="X75" s="2250"/>
      <c r="Y75" s="2250"/>
      <c r="Z75" s="2250"/>
      <c r="AA75" s="2250"/>
      <c r="AB75" s="2250"/>
      <c r="AC75" s="2250"/>
      <c r="AD75" s="2250"/>
      <c r="AE75" s="2250"/>
      <c r="AF75" s="2250"/>
      <c r="AG75" s="2250"/>
      <c r="AH75" s="2250"/>
      <c r="AI75" s="2250"/>
      <c r="AJ75" s="2250"/>
      <c r="AK75" s="2250"/>
      <c r="AL75" s="2250"/>
      <c r="AM75" s="2250"/>
      <c r="AN75" s="2250"/>
      <c r="AO75" s="2250"/>
      <c r="AP75" s="2250"/>
      <c r="AQ75" s="2250"/>
      <c r="AR75" s="2250"/>
      <c r="AS75" s="2250"/>
      <c r="AT75" s="2250"/>
      <c r="AU75" s="2250"/>
      <c r="BA75" s="1082">
        <v>20</v>
      </c>
    </row>
    <row r="76" spans="1:53" ht="14.65" customHeight="1">
      <c r="O76" s="474"/>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BA76" s="1082">
        <v>14</v>
      </c>
    </row>
    <row r="77" spans="1:53" ht="19.899999999999999" customHeight="1">
      <c r="O77" s="474"/>
      <c r="T77" s="2250"/>
      <c r="U77" s="2250"/>
      <c r="V77" s="2250"/>
      <c r="W77" s="2250"/>
      <c r="X77" s="2250"/>
      <c r="Y77" s="2250"/>
      <c r="Z77" s="2250"/>
      <c r="AA77" s="2250"/>
      <c r="AB77" s="2250"/>
      <c r="AC77" s="2250"/>
      <c r="AD77" s="2250"/>
      <c r="AE77" s="2250"/>
      <c r="AF77" s="2250"/>
      <c r="AG77" s="2250"/>
      <c r="AH77" s="2250"/>
      <c r="AI77" s="2250"/>
      <c r="AJ77" s="2250"/>
      <c r="AK77" s="2250"/>
      <c r="AL77" s="2250"/>
      <c r="AM77" s="2250"/>
      <c r="AN77" s="2250"/>
      <c r="AO77" s="2250"/>
      <c r="AP77" s="2250"/>
      <c r="AQ77" s="2250"/>
      <c r="AR77" s="2250"/>
      <c r="AS77" s="2250"/>
      <c r="AT77" s="2250"/>
      <c r="AU77" s="2250"/>
      <c r="BA77" s="1082">
        <v>19</v>
      </c>
    </row>
    <row r="78" spans="1:53" ht="16.899999999999999" customHeight="1">
      <c r="O78" s="474"/>
      <c r="T78" s="2250"/>
      <c r="U78" s="2250"/>
      <c r="V78" s="2250"/>
      <c r="W78" s="2250"/>
      <c r="X78" s="2250"/>
      <c r="Y78" s="2250"/>
      <c r="Z78" s="2250"/>
      <c r="AA78" s="2250"/>
      <c r="AB78" s="2250"/>
      <c r="AC78" s="2250"/>
      <c r="AD78" s="2250"/>
      <c r="AE78" s="2250"/>
      <c r="AF78" s="2250"/>
      <c r="AG78" s="2250"/>
      <c r="AH78" s="2250"/>
      <c r="AI78" s="2250"/>
      <c r="AJ78" s="2250"/>
      <c r="AK78" s="2250"/>
      <c r="AL78" s="2250"/>
      <c r="AM78" s="2250"/>
      <c r="AN78" s="2250"/>
      <c r="AO78" s="2250"/>
      <c r="AP78" s="2250"/>
      <c r="AQ78" s="2250"/>
      <c r="AR78" s="2250"/>
      <c r="AS78" s="2250"/>
      <c r="AT78" s="2250"/>
      <c r="AU78" s="2250"/>
      <c r="BA78" s="1082">
        <v>16</v>
      </c>
    </row>
    <row r="79" spans="1:53" ht="14.65" customHeight="1">
      <c r="O79" s="474"/>
      <c r="BA79" s="1082">
        <v>14</v>
      </c>
    </row>
    <row r="80" spans="1:53" ht="22.5" hidden="1" customHeight="1">
      <c r="A80" s="1087" t="s">
        <v>82</v>
      </c>
      <c r="B80" s="1087">
        <v>0</v>
      </c>
      <c r="C80" s="1087">
        <v>0</v>
      </c>
      <c r="D80" s="1087">
        <v>0</v>
      </c>
      <c r="E80" s="1087">
        <v>0</v>
      </c>
      <c r="F80" s="1087">
        <v>0</v>
      </c>
      <c r="G80" s="1087">
        <v>0</v>
      </c>
      <c r="H80" s="1087">
        <v>0</v>
      </c>
      <c r="I80" s="1087">
        <v>0</v>
      </c>
      <c r="J80" s="1087">
        <v>0</v>
      </c>
      <c r="K80" s="1087">
        <v>0</v>
      </c>
      <c r="L80" s="1256">
        <v>0</v>
      </c>
      <c r="M80" s="1289">
        <v>0</v>
      </c>
      <c r="N80" s="1289">
        <v>0</v>
      </c>
      <c r="O80" s="1289">
        <v>0</v>
      </c>
      <c r="P80" s="1289">
        <v>3</v>
      </c>
      <c r="Q80" s="1298">
        <v>3</v>
      </c>
      <c r="R80" s="282">
        <v>3</v>
      </c>
      <c r="S80" s="518">
        <v>12</v>
      </c>
      <c r="T80" s="1082">
        <v>31</v>
      </c>
      <c r="U80" s="1082">
        <v>0</v>
      </c>
      <c r="V80" s="1082">
        <v>0</v>
      </c>
      <c r="W80" s="1082">
        <v>0</v>
      </c>
      <c r="X80" s="1082">
        <v>0</v>
      </c>
      <c r="Y80" s="1082">
        <v>0</v>
      </c>
      <c r="Z80" s="1082">
        <v>0</v>
      </c>
      <c r="AA80" s="1082">
        <v>0</v>
      </c>
      <c r="AB80" s="1082">
        <v>5</v>
      </c>
      <c r="AC80" s="1082">
        <v>3</v>
      </c>
      <c r="AD80" s="1082">
        <v>3</v>
      </c>
      <c r="AE80" s="1082">
        <v>24</v>
      </c>
      <c r="AF80" s="1082">
        <v>3</v>
      </c>
      <c r="AG80" s="1082">
        <v>3</v>
      </c>
      <c r="AH80" s="1082">
        <v>3</v>
      </c>
      <c r="AI80" s="1082">
        <v>24</v>
      </c>
      <c r="AJ80" s="1082">
        <v>3</v>
      </c>
      <c r="AK80" s="1082">
        <v>3</v>
      </c>
      <c r="AL80" s="1082">
        <v>3</v>
      </c>
      <c r="AM80" s="1082">
        <v>18</v>
      </c>
      <c r="AN80" s="1082">
        <v>21</v>
      </c>
      <c r="AO80" s="1082">
        <v>21</v>
      </c>
      <c r="AP80" s="1082">
        <v>11</v>
      </c>
      <c r="AQ80" s="1082">
        <v>3</v>
      </c>
      <c r="AR80" s="1082">
        <v>11</v>
      </c>
      <c r="AS80" s="1082">
        <v>8</v>
      </c>
      <c r="AT80" s="1082">
        <v>4</v>
      </c>
      <c r="AU80" s="1082">
        <v>115</v>
      </c>
      <c r="AV80" s="448">
        <v>10</v>
      </c>
      <c r="AW80" s="448">
        <v>10</v>
      </c>
      <c r="AX80" s="448">
        <v>10</v>
      </c>
      <c r="AY80" s="448">
        <v>10</v>
      </c>
      <c r="AZ80" s="448">
        <v>10</v>
      </c>
      <c r="BA80" s="1082">
        <v>23</v>
      </c>
    </row>
  </sheetData>
  <sheetProtection formatColumns="0" formatRows="0" insertRows="0" deleteColumns="0" deleteRows="0" sort="0" autoFilter="0"/>
  <mergeCells count="157">
    <mergeCell ref="K59:K64"/>
    <mergeCell ref="S59:S64"/>
    <mergeCell ref="T59:T64"/>
    <mergeCell ref="R59:R64"/>
    <mergeCell ref="AE59:AE63"/>
    <mergeCell ref="AF59:AF63"/>
    <mergeCell ref="AG59:AG60"/>
    <mergeCell ref="AH59:AH60"/>
    <mergeCell ref="AB59:AB64"/>
    <mergeCell ref="AC59:AC63"/>
    <mergeCell ref="AD59:AD63"/>
    <mergeCell ref="AG61:AG62"/>
    <mergeCell ref="AH61:AH62"/>
    <mergeCell ref="AH55:AH56"/>
    <mergeCell ref="AB55:AB58"/>
    <mergeCell ref="AC55:AC57"/>
    <mergeCell ref="AD55:AD57"/>
    <mergeCell ref="AI55:AI56"/>
    <mergeCell ref="AJ55:AJ56"/>
    <mergeCell ref="X59:X64"/>
    <mergeCell ref="Y59:Y64"/>
    <mergeCell ref="Z59:Z64"/>
    <mergeCell ref="AA59:AA64"/>
    <mergeCell ref="AI59:AI60"/>
    <mergeCell ref="AJ59:AJ60"/>
    <mergeCell ref="AI61:AI62"/>
    <mergeCell ref="AJ61:AJ62"/>
    <mergeCell ref="Z55:Z58"/>
    <mergeCell ref="AA55:AA58"/>
    <mergeCell ref="K55:K58"/>
    <mergeCell ref="S55:S58"/>
    <mergeCell ref="T55:T58"/>
    <mergeCell ref="R55:R58"/>
    <mergeCell ref="AE55:AE57"/>
    <mergeCell ref="AF55:AF57"/>
    <mergeCell ref="AG55:AG56"/>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71"/>
    <mergeCell ref="V45:AA45"/>
    <mergeCell ref="AB45:AT45"/>
    <mergeCell ref="F46:F69"/>
    <mergeCell ref="V46:AA46"/>
    <mergeCell ref="AB46:AT46"/>
    <mergeCell ref="G47:G68"/>
    <mergeCell ref="V47:AA47"/>
    <mergeCell ref="AB47:AT47"/>
    <mergeCell ref="H48:H67"/>
    <mergeCell ref="V48:AA48"/>
    <mergeCell ref="AB48:AT48"/>
    <mergeCell ref="I49:I66"/>
    <mergeCell ref="P49:P66"/>
    <mergeCell ref="V49:AA49"/>
    <mergeCell ref="AB49:AT49"/>
    <mergeCell ref="J50:J65"/>
    <mergeCell ref="Q50:Q65"/>
    <mergeCell ref="V50:AA50"/>
    <mergeCell ref="AB50:AT50"/>
    <mergeCell ref="K51:K54"/>
    <mergeCell ref="S51:S54"/>
    <mergeCell ref="X55:X58"/>
    <mergeCell ref="Y55:Y58"/>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77:AU77"/>
    <mergeCell ref="T78:AU78"/>
    <mergeCell ref="AI51:AI52"/>
    <mergeCell ref="AJ51:AJ52"/>
    <mergeCell ref="AJ40:AM43"/>
    <mergeCell ref="AD51:AD53"/>
    <mergeCell ref="AE51:AE53"/>
    <mergeCell ref="AF51:AF53"/>
    <mergeCell ref="AG51:AG52"/>
    <mergeCell ref="AH51:AH52"/>
    <mergeCell ref="T74:AU74"/>
    <mergeCell ref="T75:AU75"/>
    <mergeCell ref="T51:T54"/>
    <mergeCell ref="AB51:AB54"/>
    <mergeCell ref="AC51:AC53"/>
    <mergeCell ref="AU39:AU43"/>
    <mergeCell ref="T40:T43"/>
    <mergeCell ref="V40:Z40"/>
    <mergeCell ref="AU51:AU6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67:AT917567 V983103:AT983103 V65599:AT65599 V131135:AT131135 V196671:AT196671 V262207:AT262207 V327743:AT327743 V393279:AT393279 V458815:AT458815 V524351:AT524351 V589887:AT589887 V655423:AT655423 V720959:AT720959 V786495:AT786495 V852031:AT852031">
      <formula1>kind_of_cons</formula1>
    </dataValidation>
    <dataValidation allowBlank="1" sqref="S131138:AU131144 S196674:AU196680 S262210:AU262216 S327746:AU327752 S393282:AU393288 S458818:AU458824 S524354:AU524360 S589890:AU589896 S655426:AU655432 S720962:AU720968 S786498:AU786504 S852034:AU852040 S917570:AU917576 S983106:AU983112 S65602:AU65608"/>
    <dataValidation type="list" allowBlank="1" showInputMessage="1" showErrorMessage="1" errorTitle="Ошибка" error="Выберите значение из списка" sqref="T65600 T131136 T196672 T262208 T327744 T393280 T458816 T524352 T589888 T655424 T720960 T786496 T852032 T917568 T983104">
      <formula1>kind_of_heat_transfer</formula1>
    </dataValidation>
    <dataValidation type="list" allowBlank="1" showInputMessage="1" showErrorMessage="1" errorTitle="Ошибка" error="Выберите значение из списка" sqref="AB983102:AM983102 AB65598:AM65598 AB131134:AM131134 AB196670:AM196670 AB262206:AM262206 AB327742:AM327742 AB393278:AM393278 AB458814:AM458814 AB524350:AM524350 AB589886:AM589886 AB655422:AM655422 AB720958:AM720958 AB786494:AM786494 AB852030:AM852030 AB917566:AM91756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600 X131136 X196672 X262208 X327744 X393280 X458816 X524352 X589888 X655424 X720960 X786496 X852032 X917568 X983104 Z65600 Z131136 Z196672 Z262208 Z327744 Z393280 Z458816 Z524352 Z589888 Z655424 Z720960 Z786496 Z852032 Z917568 Z983104 X8:X10 Z8:Z10 AP65600 AP131136 AP196672 AP262208 AP327744 AP393280 AP458816 AP524352 AP589888 AP655424 AP720960 AP786496 AP852032 AP917568 AP983104 AR65600 AR131136 AR196672 AR262208 AR327744 AR393280 AR458816 AR524352 AR589888 AR655424 AR720960 AR786496 AR852032 AR917568 AR983104 AR8 AR51 AR19 AP19 AP8 AP51 Z51 X51 X55 Z55 AP55 AR55 X56 Z56 X57 Z57 X59 Z59 AP59 AR59 X60:X62 Z60:Z62 X63 Z63 AP61 AR61"/>
    <dataValidation allowBlank="1" promptTitle="checkPeriodRange" sqref="W65601 W131137 W196673 W262209 W327745 W393281 W458817 W524353 W589889 W655425 W720961 W786497 W852033 W917569 W983105 AO54 AO58 AO64 W11 AO65601 AO131137 AO196673 AO262209 AO327745 AO393281 AO458817 AO524353 AO589889 AO655425 AO720961 AO786497 AO852033 AO917569 AO983105 AO11 W54 W58 W64"/>
    <dataValidation type="textLength" operator="lessThanOrEqual" allowBlank="1" showInputMessage="1" showErrorMessage="1" errorTitle="Ошибка" error="Допускается ввод не более 900 символов!" sqref="AU65594:AU65601 AU131130:AU131137 AU196666:AU196673 AU262202:AU262209 AU327738:AU327745 AU393274:AU393281 AU458810:AU458817 AU524346:AU524353 AU589882:AU589889 AU655418:AU655425 AU720954:AU720961 AU786490:AU786497 AU852026:AU852033 AU917562:AU917569 AU983098:AU983105 T8:T11 T51:T64">
      <formula1>900</formula1>
    </dataValidation>
    <dataValidation allowBlank="1" showInputMessage="1" showErrorMessage="1" prompt="Для выбора выполните двойной щелчок левой клавиши мыши по соответствующей ячейке." sqref="Y65600 Y131136 Y196672 Y262208 Y327744 Y393280 Y458816 Y524352 Y589888 Y655424 Y720960 Y786496 Y852032 Y917568 Y983104 AA131136 AA458816 AA196672 AA262208 AA327744 AA393280 AA524352 AA589888 AA655424 AA720960 AA786496 AA852032 AA917568 AA983104 AA65600 AA8:AA10 Y8:Y10 AQ65600 AQ131136 AQ196672 AQ262208 AQ327744 AQ393280 AQ458816 AQ524352 AQ589888 AQ655424 AQ720960 AQ786496 AQ852032 AQ917568 AQ983104 AS131136 AS458816 AS196672 AS262208 AS327744 AS393280 AS524352 AS589888 AS655424 AS720960 AS786496 AS852032 AS917568 AS983104 AS65600 AQ8 AB8 AE8:AF8 AI8:AJ8 AQ19 AS51 AS19 AB19 AE19:AF19 AI19:AJ19 AI51:AJ51 AE51:AF51 AA51:AB51 AS8 AQ51 Y51 Y55 AA55 AB55 AE55 AF55 AI55 AJ55 AQ55 AS55 Y56 AA56 Y57 AA57 Y59 AA59 AB59 AE59 AF59 AI59 AJ59 AQ59 AS59 Y60:Y62 AA60:AA62 Y63 AA63 AB61 AE61 AF61 AI61 AJ61 AQ61 AS6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51">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45"/>
      <c r="W2" s="2246"/>
      <c r="X2" s="2246"/>
      <c r="Y2" s="2246"/>
      <c r="Z2" s="2246"/>
      <c r="AA2" s="2246"/>
      <c r="AB2" s="2247"/>
      <c r="AC2" s="2245" t="e">
        <f>INDEX(PT_DIFFERENTIATION_NTAR,MATCH(A2,PT_DIFFERENTIATION_NTAR_ID,0))</f>
        <v>#N/A</v>
      </c>
      <c r="AD2" s="2246"/>
      <c r="AE2" s="2246"/>
      <c r="AF2" s="2246"/>
      <c r="AG2" s="2246"/>
      <c r="AH2" s="2246"/>
      <c r="AI2" s="2246"/>
      <c r="AJ2" s="224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52"/>
      <c r="F3" s="2251">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45"/>
      <c r="W3" s="2246"/>
      <c r="X3" s="2246"/>
      <c r="Y3" s="2246"/>
      <c r="Z3" s="2246"/>
      <c r="AA3" s="2246"/>
      <c r="AB3" s="2247"/>
      <c r="AC3" s="2245" t="e">
        <f>INDEX(PT_DIFFERENTIATION_TER,MATCH(B3,PT_DIFFERENTIATION_TER_ID,0))</f>
        <v>#N/A</v>
      </c>
      <c r="AD3" s="2246"/>
      <c r="AE3" s="2246"/>
      <c r="AF3" s="2246"/>
      <c r="AG3" s="2246"/>
      <c r="AH3" s="2246"/>
      <c r="AI3" s="2246"/>
      <c r="AJ3" s="2247"/>
      <c r="AK3" s="1185" t="s">
        <v>404</v>
      </c>
      <c r="AM3" s="437"/>
      <c r="AN3" s="437" t="str">
        <f t="shared" si="0"/>
        <v>Территория действия тарифа</v>
      </c>
      <c r="AO3" s="437"/>
      <c r="AP3" s="437"/>
      <c r="AQ3" s="1082">
        <v>0</v>
      </c>
    </row>
    <row r="4" spans="1:43" ht="23.25" hidden="1" customHeight="1">
      <c r="A4" s="1290"/>
      <c r="B4" s="1290"/>
      <c r="C4" s="1290"/>
      <c r="D4" s="1290"/>
      <c r="E4" s="2252"/>
      <c r="F4" s="2252"/>
      <c r="G4" s="2251">
        <v>1</v>
      </c>
      <c r="H4" s="1290"/>
      <c r="I4" s="1290"/>
      <c r="J4" s="1290"/>
      <c r="K4" s="1290"/>
      <c r="L4" s="1291"/>
      <c r="M4" s="1292"/>
      <c r="N4" s="1292"/>
      <c r="O4" s="1292"/>
      <c r="P4" s="291"/>
      <c r="Q4" s="289"/>
      <c r="R4" s="290"/>
      <c r="S4" s="1352" t="e">
        <f>INDEX(PT_DIFFERENTIATION_NUM_CS,MATCH(C4,PT_DIFFERENTIATION_CS_ID,0))</f>
        <v>#N/A</v>
      </c>
      <c r="T4" s="247" t="s">
        <v>494</v>
      </c>
      <c r="U4" s="238"/>
      <c r="V4" s="2245"/>
      <c r="W4" s="2246"/>
      <c r="X4" s="2246"/>
      <c r="Y4" s="2246"/>
      <c r="Z4" s="2246"/>
      <c r="AA4" s="2246"/>
      <c r="AB4" s="2247"/>
      <c r="AC4" s="2245" t="e">
        <f>INDEX(PT_DIFFERENTIATION_CS,MATCH(C4,PT_DIFFERENTIATION_CS_ID,0))</f>
        <v>#N/A</v>
      </c>
      <c r="AD4" s="2246"/>
      <c r="AE4" s="2246"/>
      <c r="AF4" s="2246"/>
      <c r="AG4" s="2246"/>
      <c r="AH4" s="2246"/>
      <c r="AI4" s="2246"/>
      <c r="AJ4" s="2247"/>
      <c r="AK4" s="1185" t="s">
        <v>495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52"/>
      <c r="F5" s="2252"/>
      <c r="G5" s="2252"/>
      <c r="H5" s="2252"/>
      <c r="I5" s="2253" t="e">
        <f>S4&amp;".1"</f>
        <v>#N/A</v>
      </c>
      <c r="J5" s="1290"/>
      <c r="K5" s="1290"/>
      <c r="L5" s="1291"/>
      <c r="P5" s="2255">
        <v>1</v>
      </c>
      <c r="Q5" s="1349"/>
      <c r="R5" s="293"/>
      <c r="S5" s="1352" t="e">
        <f>$I5</f>
        <v>#N/A</v>
      </c>
      <c r="T5" s="223" t="s">
        <v>496</v>
      </c>
      <c r="U5" s="238"/>
      <c r="V5" s="2330"/>
      <c r="W5" s="2331"/>
      <c r="X5" s="2331"/>
      <c r="Y5" s="2331"/>
      <c r="Z5" s="2331"/>
      <c r="AA5" s="2331"/>
      <c r="AB5" s="2332"/>
      <c r="AC5" s="2333"/>
      <c r="AD5" s="2334"/>
      <c r="AE5" s="2334"/>
      <c r="AF5" s="2334"/>
      <c r="AG5" s="2334"/>
      <c r="AH5" s="2334"/>
      <c r="AI5" s="2334"/>
      <c r="AJ5" s="2335"/>
      <c r="AK5" s="1185" t="s">
        <v>497</v>
      </c>
      <c r="AM5" s="437"/>
      <c r="AN5" s="437" t="str">
        <f t="shared" si="0"/>
        <v>Наименование признака дифференциации</v>
      </c>
      <c r="AO5" s="437"/>
      <c r="AP5" s="437"/>
      <c r="AQ5" s="1082">
        <v>0</v>
      </c>
    </row>
    <row r="6" spans="1:43" ht="23.25" hidden="1" customHeight="1">
      <c r="A6" s="1290"/>
      <c r="B6" s="1290"/>
      <c r="C6" s="1290"/>
      <c r="D6" s="1290"/>
      <c r="E6" s="2252"/>
      <c r="F6" s="2252"/>
      <c r="G6" s="2252"/>
      <c r="H6" s="2252"/>
      <c r="I6" s="2254"/>
      <c r="J6" s="2253" t="e">
        <f>I5&amp;".1"</f>
        <v>#N/A</v>
      </c>
      <c r="K6" s="1290"/>
      <c r="L6" s="1291" t="s">
        <v>412</v>
      </c>
      <c r="P6" s="2255"/>
      <c r="Q6" s="2255">
        <v>1</v>
      </c>
      <c r="R6" s="294"/>
      <c r="S6" s="1352" t="e">
        <f>$J6</f>
        <v>#N/A</v>
      </c>
      <c r="T6" s="224" t="s">
        <v>413</v>
      </c>
      <c r="U6" s="238"/>
      <c r="V6" s="2239"/>
      <c r="W6" s="2240"/>
      <c r="X6" s="2240"/>
      <c r="Y6" s="2240"/>
      <c r="Z6" s="2240"/>
      <c r="AA6" s="2240"/>
      <c r="AB6" s="2241"/>
      <c r="AC6" s="2239"/>
      <c r="AD6" s="2240"/>
      <c r="AE6" s="2240"/>
      <c r="AF6" s="2240"/>
      <c r="AG6" s="2240"/>
      <c r="AH6" s="2240"/>
      <c r="AI6" s="2240"/>
      <c r="AJ6" s="2241"/>
      <c r="AK6" s="1234" t="s">
        <v>498</v>
      </c>
      <c r="AM6" s="437"/>
      <c r="AN6" s="437" t="str">
        <f t="shared" si="0"/>
        <v>Группа потребителей</v>
      </c>
      <c r="AO6" s="437"/>
      <c r="AP6" s="437"/>
      <c r="AQ6" s="1082">
        <v>0</v>
      </c>
    </row>
    <row r="7" spans="1:43" ht="23.25" hidden="1" customHeight="1">
      <c r="A7" s="1290"/>
      <c r="B7" s="1290"/>
      <c r="C7" s="1290"/>
      <c r="D7" s="1290"/>
      <c r="E7" s="2252"/>
      <c r="F7" s="2252"/>
      <c r="G7" s="2252"/>
      <c r="H7" s="2252"/>
      <c r="I7" s="2254"/>
      <c r="J7" s="2254"/>
      <c r="K7" s="2253" t="e">
        <f>J6&amp;".1"</f>
        <v>#N/A</v>
      </c>
      <c r="L7" s="1291"/>
      <c r="P7" s="2255"/>
      <c r="Q7" s="2255"/>
      <c r="R7" s="294">
        <v>1</v>
      </c>
      <c r="S7" s="1352" t="e">
        <f>$K7</f>
        <v>#N/A</v>
      </c>
      <c r="T7" s="1364"/>
      <c r="U7" s="238"/>
      <c r="V7" s="688"/>
      <c r="W7" s="688"/>
      <c r="X7" s="1184"/>
      <c r="Y7" s="2256"/>
      <c r="Z7" s="2126" t="s">
        <v>66</v>
      </c>
      <c r="AA7" s="2256"/>
      <c r="AB7" s="2126" t="s">
        <v>66</v>
      </c>
      <c r="AC7" s="688"/>
      <c r="AD7" s="688"/>
      <c r="AE7" s="1184"/>
      <c r="AF7" s="2256"/>
      <c r="AG7" s="2126" t="s">
        <v>66</v>
      </c>
      <c r="AH7" s="2258"/>
      <c r="AI7" s="2126" t="s">
        <v>66</v>
      </c>
      <c r="AJ7" s="1365"/>
      <c r="AK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52"/>
      <c r="F8" s="2252"/>
      <c r="G8" s="2252"/>
      <c r="H8" s="2252"/>
      <c r="I8" s="2254"/>
      <c r="J8" s="2254"/>
      <c r="K8" s="2253"/>
      <c r="L8" s="1291"/>
      <c r="P8" s="2255"/>
      <c r="Q8" s="2255"/>
      <c r="R8" s="294"/>
      <c r="S8" s="1351"/>
      <c r="T8" s="238"/>
      <c r="U8" s="238"/>
      <c r="V8" s="263"/>
      <c r="W8" s="263"/>
      <c r="X8" s="266" t="str">
        <f>Y7&amp;"-"&amp;AA7</f>
        <v>-</v>
      </c>
      <c r="Y8" s="2257"/>
      <c r="Z8" s="2126"/>
      <c r="AA8" s="2257"/>
      <c r="AB8" s="2126"/>
      <c r="AC8" s="263"/>
      <c r="AD8" s="263"/>
      <c r="AE8" s="266" t="str">
        <f>AF7&amp;"-"&amp;AH7</f>
        <v>-</v>
      </c>
      <c r="AF8" s="2257"/>
      <c r="AG8" s="2126"/>
      <c r="AH8" s="2259"/>
      <c r="AI8" s="2126"/>
      <c r="AJ8" s="1366"/>
      <c r="AK8" s="2336"/>
      <c r="AM8" s="437"/>
      <c r="AN8" s="437" t="str">
        <f t="shared" si="0"/>
        <v/>
      </c>
      <c r="AO8" s="437"/>
      <c r="AP8" s="437"/>
      <c r="AQ8" s="1082">
        <v>0</v>
      </c>
    </row>
    <row r="9" spans="1:43" ht="21" hidden="1" customHeight="1">
      <c r="A9" s="1290"/>
      <c r="B9" s="1290"/>
      <c r="C9" s="1290"/>
      <c r="D9" s="1290"/>
      <c r="E9" s="2252"/>
      <c r="F9" s="2252"/>
      <c r="G9" s="2252"/>
      <c r="H9" s="2252"/>
      <c r="I9" s="2254"/>
      <c r="J9" s="2253"/>
      <c r="K9" s="1290"/>
      <c r="L9" s="1291"/>
      <c r="P9" s="2255"/>
      <c r="Q9" s="2255"/>
      <c r="R9" s="293"/>
      <c r="S9" s="1205"/>
      <c r="T9" s="225" t="s">
        <v>499</v>
      </c>
      <c r="U9" s="304"/>
      <c r="V9" s="304"/>
      <c r="W9" s="304"/>
      <c r="X9" s="304"/>
      <c r="Y9" s="304"/>
      <c r="Z9" s="304"/>
      <c r="AA9" s="304"/>
      <c r="AB9" s="304"/>
      <c r="AC9" s="304"/>
      <c r="AD9" s="304"/>
      <c r="AE9" s="304"/>
      <c r="AF9" s="304"/>
      <c r="AG9" s="304"/>
      <c r="AH9" s="304"/>
      <c r="AI9" s="304"/>
      <c r="AJ9" s="304"/>
      <c r="AK9" s="1185" t="s">
        <v>500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52"/>
      <c r="F10" s="2252"/>
      <c r="G10" s="2252"/>
      <c r="H10" s="2252"/>
      <c r="I10" s="2253"/>
      <c r="J10" s="1290"/>
      <c r="K10" s="1290"/>
      <c r="L10" s="1291"/>
      <c r="P10" s="2255"/>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52"/>
      <c r="F12" s="2251"/>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49"/>
      <c r="AG15" s="2248" t="s">
        <v>66</v>
      </c>
      <c r="AH15" s="2249"/>
      <c r="AI15" s="2248" t="s">
        <v>66</v>
      </c>
      <c r="AQ15" s="1082">
        <v>0</v>
      </c>
    </row>
    <row r="16" spans="1:43" ht="14.25" hidden="1" customHeight="1">
      <c r="AC16" s="1287"/>
      <c r="AD16" s="1287"/>
      <c r="AE16" s="266" t="str">
        <f>AF15&amp;"-"&amp;AH15</f>
        <v>-</v>
      </c>
      <c r="AF16" s="2248"/>
      <c r="AG16" s="2248"/>
      <c r="AH16" s="2248"/>
      <c r="AI16" s="2248"/>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70"/>
      <c r="AQ24" s="1082">
        <v>14</v>
      </c>
    </row>
    <row r="25" spans="1:43"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64"/>
      <c r="AC27" s="2244" t="str">
        <f>IF(TITLE_NAME_OR_PR_CHANGE="",IF(TITLE_NAME_OR_PR="","",TITLE_NAME_OR_PR),TITLE_NAME_OR_PR_CHANGE)</f>
        <v/>
      </c>
      <c r="AD27" s="2244"/>
      <c r="AE27" s="2244"/>
      <c r="AF27" s="2244"/>
      <c r="AG27" s="2244"/>
      <c r="AH27" s="224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64"/>
      <c r="AC28" s="2243">
        <f>IF(TITLE_DATE_PR_CHANGE="",IF(TITLE_DATE_PR="","",TITLE_DATE_PR),TITLE_DATE_PR_CHANGE)</f>
        <v>45777</v>
      </c>
      <c r="AD28" s="2243"/>
      <c r="AE28" s="2243"/>
      <c r="AF28" s="2243"/>
      <c r="AG28" s="2243"/>
      <c r="AH28" s="224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64"/>
      <c r="AC29" s="2244" t="str">
        <f>IF(TITLE_NUMBER_PR_CHANGE="",IF(TITLE_NUMBER_PR="","",TITLE_NUMBER_PR),TITLE_NUMBER_PR_CHANGE)</f>
        <v>466</v>
      </c>
      <c r="AD29" s="2244"/>
      <c r="AE29" s="2244"/>
      <c r="AF29" s="2244"/>
      <c r="AG29" s="2244"/>
      <c r="AH29" s="224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64"/>
      <c r="AC30" s="2244" t="str">
        <f>IF(TITLE_IST_PUB_CHANGE="",IF(TITLE_IST_PUB="","",TITLE_IST_PUB),TITLE_IST_PUB_CHANGE)</f>
        <v/>
      </c>
      <c r="AD30" s="2244"/>
      <c r="AE30" s="2244"/>
      <c r="AF30" s="2244"/>
      <c r="AG30" s="2244"/>
      <c r="AH30" s="224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64"/>
      <c r="AC32" s="2243">
        <f>IF(TITLE_DATE_PR_CHANGE="",IF(TITLE_DATE_PR="","",TITLE_DATE_PR),TITLE_DATE_PR_CHANGE)</f>
        <v>45777</v>
      </c>
      <c r="AD32" s="2243"/>
      <c r="AE32" s="2243"/>
      <c r="AF32" s="2243"/>
      <c r="AG32" s="2243"/>
      <c r="AH32" s="224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64"/>
      <c r="AC33" s="2244" t="str">
        <f>IF(TITLE_NUMBER_PR_CHANGE="",IF(TITLE_NUMBER_PR="","",TITLE_NUMBER_PR),TITLE_NUMBER_PR_CHANGE)</f>
        <v>466</v>
      </c>
      <c r="AD33" s="2244"/>
      <c r="AE33" s="2244"/>
      <c r="AF33" s="2244"/>
      <c r="AG33" s="2244"/>
      <c r="AH33" s="224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63"/>
      <c r="W35" s="2263"/>
      <c r="X35" s="2263"/>
      <c r="Y35" s="2263"/>
      <c r="Z35" s="2263"/>
      <c r="AA35" s="2263"/>
      <c r="AB35" s="2263"/>
      <c r="AC35" s="2263"/>
      <c r="AD35" s="2263"/>
      <c r="AE35" s="2263"/>
      <c r="AF35" s="2263"/>
      <c r="AG35" s="2263"/>
      <c r="AH35" s="2263"/>
      <c r="AI35" s="2263"/>
      <c r="AQ35" s="1082">
        <v>14</v>
      </c>
    </row>
    <row r="36" spans="1:43"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t="s">
        <v>307</v>
      </c>
      <c r="AQ36" s="1082">
        <v>14</v>
      </c>
    </row>
    <row r="37" spans="1:43" ht="14.65" customHeight="1">
      <c r="Q37" s="313"/>
      <c r="R37" s="313"/>
      <c r="S37" s="2264" t="s">
        <v>88</v>
      </c>
      <c r="T37" s="2212" t="s">
        <v>431</v>
      </c>
      <c r="U37" s="239"/>
      <c r="V37" s="2265" t="s">
        <v>432</v>
      </c>
      <c r="W37" s="2266"/>
      <c r="X37" s="2266"/>
      <c r="Y37" s="2266"/>
      <c r="Z37" s="2266"/>
      <c r="AA37" s="2267"/>
      <c r="AB37" s="2268" t="s">
        <v>433</v>
      </c>
      <c r="AC37" s="2265" t="s">
        <v>432</v>
      </c>
      <c r="AD37" s="2266"/>
      <c r="AE37" s="2266"/>
      <c r="AF37" s="2266"/>
      <c r="AG37" s="2266"/>
      <c r="AH37" s="2267"/>
      <c r="AI37" s="2268" t="s">
        <v>434</v>
      </c>
      <c r="AJ37" s="2271" t="s">
        <v>435</v>
      </c>
      <c r="AK37" s="2116"/>
      <c r="AQ37" s="1082">
        <v>14</v>
      </c>
    </row>
    <row r="38" spans="1:43" ht="35.65" customHeight="1">
      <c r="Q38" s="313"/>
      <c r="R38" s="313"/>
      <c r="S38" s="2264"/>
      <c r="T38" s="2212"/>
      <c r="U38" s="961"/>
      <c r="V38" s="1279" t="s">
        <v>502</v>
      </c>
      <c r="W38" s="2098" t="s">
        <v>438</v>
      </c>
      <c r="X38" s="2097"/>
      <c r="Y38" s="2098" t="s">
        <v>439</v>
      </c>
      <c r="Z38" s="2103"/>
      <c r="AA38" s="2097"/>
      <c r="AB38" s="2269"/>
      <c r="AC38" s="1279" t="s">
        <v>502</v>
      </c>
      <c r="AD38" s="2098" t="s">
        <v>438</v>
      </c>
      <c r="AE38" s="2097"/>
      <c r="AF38" s="2098" t="s">
        <v>439</v>
      </c>
      <c r="AG38" s="2103"/>
      <c r="AH38" s="2097"/>
      <c r="AI38" s="2269"/>
      <c r="AJ38" s="2272"/>
      <c r="AK38" s="2116"/>
      <c r="AQ38" s="1082">
        <v>34</v>
      </c>
    </row>
    <row r="39" spans="1:43" ht="35.65" customHeight="1">
      <c r="A39" s="1297"/>
      <c r="B39" s="1297" t="s">
        <v>136</v>
      </c>
      <c r="C39" s="1297" t="s">
        <v>137</v>
      </c>
      <c r="D39" s="1297" t="s">
        <v>138</v>
      </c>
      <c r="E39" s="1291" t="s">
        <v>440</v>
      </c>
      <c r="F39" s="1291" t="s">
        <v>441</v>
      </c>
      <c r="G39" s="1291" t="s">
        <v>442</v>
      </c>
      <c r="H39" s="1291"/>
      <c r="I39" s="1291" t="s">
        <v>503</v>
      </c>
      <c r="J39" s="1291" t="s">
        <v>445</v>
      </c>
      <c r="K39" s="1291" t="s">
        <v>504</v>
      </c>
      <c r="L39" s="1291" t="s">
        <v>421</v>
      </c>
      <c r="Q39" s="313"/>
      <c r="R39" s="313"/>
      <c r="S39" s="2264"/>
      <c r="T39" s="2212"/>
      <c r="U39" s="240"/>
      <c r="V39" s="1279" t="s">
        <v>505</v>
      </c>
      <c r="W39" s="1149" t="s">
        <v>506</v>
      </c>
      <c r="X39" s="1149" t="s">
        <v>507</v>
      </c>
      <c r="Y39" s="1284" t="s">
        <v>449</v>
      </c>
      <c r="Z39" s="2217" t="s">
        <v>450</v>
      </c>
      <c r="AA39" s="2231"/>
      <c r="AB39" s="2270"/>
      <c r="AC39" s="1279" t="s">
        <v>505</v>
      </c>
      <c r="AD39" s="1149" t="s">
        <v>506</v>
      </c>
      <c r="AE39" s="1149" t="s">
        <v>507</v>
      </c>
      <c r="AF39" s="1284" t="s">
        <v>449</v>
      </c>
      <c r="AG39" s="2217" t="s">
        <v>450</v>
      </c>
      <c r="AH39" s="2231"/>
      <c r="AI39" s="2270"/>
      <c r="AJ39" s="2273"/>
      <c r="AK39" s="2116"/>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62">
        <f ca="1">OFFSET(Z40,0,-1)+1</f>
        <v>7</v>
      </c>
      <c r="AA40" s="2262"/>
      <c r="AB40" s="1280">
        <f ca="1">OFFSET(AB40,0,-2)+1</f>
        <v>8</v>
      </c>
      <c r="AC40" s="1280">
        <f ca="1">OFFSET(AC40,0,-1)+1</f>
        <v>9</v>
      </c>
      <c r="AD40" s="1280">
        <f ca="1">OFFSET(AD40,0,-1)+1</f>
        <v>10</v>
      </c>
      <c r="AE40" s="1280">
        <f ca="1">OFFSET(AE40,0,-1)+1</f>
        <v>11</v>
      </c>
      <c r="AF40" s="1280">
        <f ca="1">OFFSET(AF40,0,-1)+1</f>
        <v>12</v>
      </c>
      <c r="AG40" s="2262">
        <f ca="1">OFFSET(AG40,0,-1)+1</f>
        <v>13</v>
      </c>
      <c r="AH40" s="2262"/>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51">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52"/>
      <c r="F42" s="2251">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52"/>
      <c r="F43" s="2252"/>
      <c r="G43" s="2251">
        <v>1</v>
      </c>
      <c r="H43" s="1290"/>
      <c r="I43" s="1290"/>
      <c r="J43" s="1290"/>
      <c r="K43" s="1290"/>
      <c r="L43" s="1291"/>
      <c r="M43" s="1292"/>
      <c r="N43" s="1292"/>
      <c r="O43" s="1292"/>
      <c r="P43" s="291"/>
      <c r="Q43" s="289"/>
      <c r="R43" s="290"/>
      <c r="S43" s="1285" t="str">
        <f>INDEX(PT_DIFFERENTIATION_NUM_CS,MATCH(C43,PT_DIFFERENTIATION_CS_ID,0))</f>
        <v>..</v>
      </c>
      <c r="T43" s="247" t="s">
        <v>494</v>
      </c>
      <c r="U43" s="238"/>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5" t="s">
        <v>495</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508</v>
      </c>
      <c r="E44" s="2252"/>
      <c r="F44" s="2252"/>
      <c r="G44" s="2252"/>
      <c r="H44" s="2252"/>
      <c r="I44" s="2253" t="str">
        <f>S43&amp;".1"</f>
        <v>...1</v>
      </c>
      <c r="J44" s="1290"/>
      <c r="K44" s="1290"/>
      <c r="L44" s="1291"/>
      <c r="P44" s="2255">
        <v>1</v>
      </c>
      <c r="Q44" s="1281"/>
      <c r="R44" s="293"/>
      <c r="S44" s="1285" t="str">
        <f>$I44</f>
        <v>...1</v>
      </c>
      <c r="T44" s="223" t="s">
        <v>496</v>
      </c>
      <c r="U44" s="238"/>
      <c r="V44" s="2330"/>
      <c r="W44" s="2331"/>
      <c r="X44" s="2331"/>
      <c r="Y44" s="2331"/>
      <c r="Z44" s="2331"/>
      <c r="AA44" s="2331"/>
      <c r="AB44" s="2332"/>
      <c r="AC44" s="2333"/>
      <c r="AD44" s="2334"/>
      <c r="AE44" s="2334"/>
      <c r="AF44" s="2334"/>
      <c r="AG44" s="2334"/>
      <c r="AH44" s="2334"/>
      <c r="AI44" s="2334"/>
      <c r="AJ44" s="2335"/>
      <c r="AK44" s="1185" t="s">
        <v>497</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508</v>
      </c>
      <c r="E45" s="2252"/>
      <c r="F45" s="2252"/>
      <c r="G45" s="2252"/>
      <c r="H45" s="2252"/>
      <c r="I45" s="2254"/>
      <c r="J45" s="2253" t="str">
        <f>I44&amp;".1"</f>
        <v>...1.1</v>
      </c>
      <c r="K45" s="1290"/>
      <c r="L45" s="1291" t="s">
        <v>412</v>
      </c>
      <c r="P45" s="2255"/>
      <c r="Q45" s="2255">
        <v>1</v>
      </c>
      <c r="R45" s="294"/>
      <c r="S45" s="1285" t="str">
        <f>$J45</f>
        <v>...1.1</v>
      </c>
      <c r="T45" s="224" t="s">
        <v>413</v>
      </c>
      <c r="U45" s="238"/>
      <c r="V45" s="2239"/>
      <c r="W45" s="2240"/>
      <c r="X45" s="2240"/>
      <c r="Y45" s="2240"/>
      <c r="Z45" s="2240"/>
      <c r="AA45" s="2240"/>
      <c r="AB45" s="2241"/>
      <c r="AC45" s="2239"/>
      <c r="AD45" s="2240"/>
      <c r="AE45" s="2240"/>
      <c r="AF45" s="2240"/>
      <c r="AG45" s="2240"/>
      <c r="AH45" s="2240"/>
      <c r="AI45" s="2240"/>
      <c r="AJ45" s="2241"/>
      <c r="AK45" s="1234" t="s">
        <v>498</v>
      </c>
      <c r="AM45" s="437"/>
      <c r="AN45" s="437" t="str">
        <f t="shared" si="1"/>
        <v>Группа потребителей</v>
      </c>
      <c r="AO45" s="437"/>
      <c r="AP45" s="437"/>
      <c r="AQ45" s="1082">
        <v>23</v>
      </c>
    </row>
    <row r="46" spans="1:43" ht="24" customHeight="1">
      <c r="A46" s="1290" t="s">
        <v>232</v>
      </c>
      <c r="B46" s="1290" t="s">
        <v>233</v>
      </c>
      <c r="C46" s="1290" t="s">
        <v>234</v>
      </c>
      <c r="D46" s="1290" t="s">
        <v>508</v>
      </c>
      <c r="E46" s="2252"/>
      <c r="F46" s="2252"/>
      <c r="G46" s="2252"/>
      <c r="H46" s="2252"/>
      <c r="I46" s="2254"/>
      <c r="J46" s="2254"/>
      <c r="K46" s="2253" t="str">
        <f>J45&amp;".1"</f>
        <v>...1.1.1</v>
      </c>
      <c r="L46" s="1291"/>
      <c r="P46" s="2255"/>
      <c r="Q46" s="2255"/>
      <c r="R46" s="294">
        <v>1</v>
      </c>
      <c r="S46" s="1285" t="str">
        <f>$K46</f>
        <v>...1.1.1</v>
      </c>
      <c r="T46" s="1364"/>
      <c r="U46" s="238"/>
      <c r="V46" s="1287"/>
      <c r="W46" s="1287"/>
      <c r="X46" s="1288"/>
      <c r="Y46" s="2249"/>
      <c r="Z46" s="2248" t="s">
        <v>66</v>
      </c>
      <c r="AA46" s="2249"/>
      <c r="AB46" s="2248" t="s">
        <v>66</v>
      </c>
      <c r="AC46" s="688"/>
      <c r="AD46" s="688"/>
      <c r="AE46" s="1184"/>
      <c r="AF46" s="2256"/>
      <c r="AG46" s="2126" t="s">
        <v>66</v>
      </c>
      <c r="AH46" s="2258"/>
      <c r="AI46" s="2126" t="s">
        <v>19</v>
      </c>
      <c r="AJ46" s="1365"/>
      <c r="AK46"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508</v>
      </c>
      <c r="E47" s="2252"/>
      <c r="F47" s="2252"/>
      <c r="G47" s="2252"/>
      <c r="H47" s="2252"/>
      <c r="I47" s="2254"/>
      <c r="J47" s="2254"/>
      <c r="K47" s="2253"/>
      <c r="L47" s="1291"/>
      <c r="P47" s="2255"/>
      <c r="Q47" s="2255"/>
      <c r="R47" s="294"/>
      <c r="S47" s="1286"/>
      <c r="T47" s="238"/>
      <c r="U47" s="238"/>
      <c r="V47" s="1287"/>
      <c r="W47" s="1287"/>
      <c r="X47" s="266" t="str">
        <f>Y46&amp;"-"&amp;AA46</f>
        <v>-</v>
      </c>
      <c r="Y47" s="2248"/>
      <c r="Z47" s="2248"/>
      <c r="AA47" s="2248"/>
      <c r="AB47" s="2248"/>
      <c r="AC47" s="263"/>
      <c r="AD47" s="263"/>
      <c r="AE47" s="266" t="str">
        <f>AF46&amp;"-"&amp;AH46</f>
        <v>-</v>
      </c>
      <c r="AF47" s="2257"/>
      <c r="AG47" s="2126"/>
      <c r="AH47" s="2259"/>
      <c r="AI47" s="2126"/>
      <c r="AJ47" s="1366"/>
      <c r="AK47" s="2336"/>
      <c r="AM47" s="437"/>
      <c r="AN47" s="437" t="str">
        <f t="shared" si="1"/>
        <v/>
      </c>
      <c r="AO47" s="437"/>
      <c r="AP47" s="437"/>
      <c r="AQ47" s="1082">
        <v>0</v>
      </c>
    </row>
    <row r="48" spans="1:43" ht="21" customHeight="1">
      <c r="A48" s="1290" t="s">
        <v>232</v>
      </c>
      <c r="B48" s="1290" t="s">
        <v>233</v>
      </c>
      <c r="C48" s="1290" t="s">
        <v>234</v>
      </c>
      <c r="D48" s="1290" t="s">
        <v>508</v>
      </c>
      <c r="E48" s="2252"/>
      <c r="F48" s="2252"/>
      <c r="G48" s="2252"/>
      <c r="H48" s="2252"/>
      <c r="I48" s="2254"/>
      <c r="J48" s="2253"/>
      <c r="K48" s="1290"/>
      <c r="L48" s="1291"/>
      <c r="P48" s="2255"/>
      <c r="Q48" s="2255"/>
      <c r="R48" s="293"/>
      <c r="S48" s="1205"/>
      <c r="T48" s="225" t="s">
        <v>499</v>
      </c>
      <c r="U48" s="304"/>
      <c r="V48" s="304"/>
      <c r="W48" s="304"/>
      <c r="X48" s="304"/>
      <c r="Y48" s="304"/>
      <c r="Z48" s="304"/>
      <c r="AA48" s="304"/>
      <c r="AB48" s="304"/>
      <c r="AC48" s="304"/>
      <c r="AD48" s="304"/>
      <c r="AE48" s="304"/>
      <c r="AF48" s="304"/>
      <c r="AG48" s="304"/>
      <c r="AH48" s="304"/>
      <c r="AI48" s="304"/>
      <c r="AJ48" s="304"/>
      <c r="AK48" s="1185" t="s">
        <v>500</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508</v>
      </c>
      <c r="E49" s="2252"/>
      <c r="F49" s="2252"/>
      <c r="G49" s="2252"/>
      <c r="H49" s="2252"/>
      <c r="I49" s="2253"/>
      <c r="J49" s="1290"/>
      <c r="K49" s="1290"/>
      <c r="L49" s="1291"/>
      <c r="P49" s="2255"/>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508</v>
      </c>
      <c r="E50" s="2252"/>
      <c r="F50" s="2252"/>
      <c r="G50" s="2252"/>
      <c r="H50" s="2251"/>
      <c r="I50" s="1290"/>
      <c r="J50" s="1290"/>
      <c r="K50" s="1290"/>
      <c r="L50" s="1291"/>
      <c r="M50" s="1292"/>
      <c r="N50" s="1292"/>
      <c r="O50" s="474"/>
      <c r="P50" s="297"/>
      <c r="Q50" s="312"/>
      <c r="R50" s="292"/>
      <c r="S50" s="1205"/>
      <c r="T50" s="309" t="s">
        <v>501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52"/>
      <c r="F51" s="2251"/>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51"/>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51">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45"/>
      <c r="W2" s="2246"/>
      <c r="X2" s="2246"/>
      <c r="Y2" s="2246"/>
      <c r="Z2" s="2246"/>
      <c r="AA2" s="2246"/>
      <c r="AB2" s="2247"/>
      <c r="AC2" s="2245" t="e">
        <f>INDEX(PT_DIFFERENTIATION_NTAR,MATCH(A2,PT_DIFFERENTIATION_NTAR_ID,0))</f>
        <v>#N/A</v>
      </c>
      <c r="AD2" s="2246"/>
      <c r="AE2" s="2246"/>
      <c r="AF2" s="2246"/>
      <c r="AG2" s="2246"/>
      <c r="AH2" s="2246"/>
      <c r="AI2" s="2246"/>
      <c r="AJ2" s="224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52"/>
      <c r="F3" s="225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45"/>
      <c r="W3" s="2246"/>
      <c r="X3" s="2246"/>
      <c r="Y3" s="2246"/>
      <c r="Z3" s="2246"/>
      <c r="AA3" s="2246"/>
      <c r="AB3" s="2247"/>
      <c r="AC3" s="2245" t="e">
        <f>INDEX(PT_DIFFERENTIATION_TER,MATCH(B3,PT_DIFFERENTIATION_TER_ID,0))</f>
        <v>#N/A</v>
      </c>
      <c r="AD3" s="2246"/>
      <c r="AE3" s="2246"/>
      <c r="AF3" s="2246"/>
      <c r="AG3" s="2246"/>
      <c r="AH3" s="2246"/>
      <c r="AI3" s="2246"/>
      <c r="AJ3" s="2247"/>
      <c r="AK3" s="1185" t="s">
        <v>404</v>
      </c>
      <c r="AM3" s="437"/>
      <c r="AN3" s="437" t="str">
        <f t="shared" si="0"/>
        <v>Территория действия тарифа</v>
      </c>
      <c r="AO3" s="437"/>
      <c r="AP3" s="437"/>
      <c r="AQ3" s="1082">
        <v>0</v>
      </c>
    </row>
    <row r="4" spans="1:43" ht="23.25" hidden="1" customHeight="1">
      <c r="A4" s="1290"/>
      <c r="B4" s="1290"/>
      <c r="C4" s="1290"/>
      <c r="D4" s="1290"/>
      <c r="E4" s="2252"/>
      <c r="F4" s="2252"/>
      <c r="G4" s="2251">
        <v>1</v>
      </c>
      <c r="H4" s="1290"/>
      <c r="I4" s="1290"/>
      <c r="J4" s="1290"/>
      <c r="K4" s="1290"/>
      <c r="L4" s="1291"/>
      <c r="M4" s="1292"/>
      <c r="N4" s="1292"/>
      <c r="O4" s="1292"/>
      <c r="P4" s="291"/>
      <c r="Q4" s="289"/>
      <c r="R4" s="290"/>
      <c r="S4" s="1384" t="e">
        <f>INDEX(PT_DIFFERENTIATION_NUM_CS,MATCH(C4,PT_DIFFERENTIATION_CS_ID,0))</f>
        <v>#N/A</v>
      </c>
      <c r="T4" s="247" t="s">
        <v>494</v>
      </c>
      <c r="U4" s="238"/>
      <c r="V4" s="2245"/>
      <c r="W4" s="2246"/>
      <c r="X4" s="2246"/>
      <c r="Y4" s="2246"/>
      <c r="Z4" s="2246"/>
      <c r="AA4" s="2246"/>
      <c r="AB4" s="2247"/>
      <c r="AC4" s="2245" t="e">
        <f>INDEX(PT_DIFFERENTIATION_CS,MATCH(C4,PT_DIFFERENTIATION_CS_ID,0))</f>
        <v>#N/A</v>
      </c>
      <c r="AD4" s="2246"/>
      <c r="AE4" s="2246"/>
      <c r="AF4" s="2246"/>
      <c r="AG4" s="2246"/>
      <c r="AH4" s="2246"/>
      <c r="AI4" s="2246"/>
      <c r="AJ4" s="2247"/>
      <c r="AK4" s="1185" t="s">
        <v>495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52"/>
      <c r="F5" s="2252"/>
      <c r="G5" s="2252"/>
      <c r="H5" s="2252"/>
      <c r="I5" s="2253" t="e">
        <f>S4&amp;".1"</f>
        <v>#N/A</v>
      </c>
      <c r="J5" s="1290"/>
      <c r="K5" s="1290"/>
      <c r="L5" s="1291"/>
      <c r="P5" s="2255">
        <v>1</v>
      </c>
      <c r="Q5" s="1377"/>
      <c r="R5" s="293"/>
      <c r="S5" s="1384" t="e">
        <f>$I5</f>
        <v>#N/A</v>
      </c>
      <c r="T5" s="223" t="s">
        <v>496</v>
      </c>
      <c r="U5" s="238"/>
      <c r="V5" s="2330"/>
      <c r="W5" s="2331"/>
      <c r="X5" s="2331"/>
      <c r="Y5" s="2331"/>
      <c r="Z5" s="2331"/>
      <c r="AA5" s="2331"/>
      <c r="AB5" s="2332"/>
      <c r="AC5" s="2333"/>
      <c r="AD5" s="2334"/>
      <c r="AE5" s="2334"/>
      <c r="AF5" s="2334"/>
      <c r="AG5" s="2334"/>
      <c r="AH5" s="2334"/>
      <c r="AI5" s="2334"/>
      <c r="AJ5" s="2335"/>
      <c r="AK5" s="1185" t="s">
        <v>497</v>
      </c>
      <c r="AM5" s="437"/>
      <c r="AN5" s="437" t="str">
        <f t="shared" si="0"/>
        <v>Наименование признака дифференциации</v>
      </c>
      <c r="AO5" s="437"/>
      <c r="AP5" s="437"/>
      <c r="AQ5" s="1082">
        <v>0</v>
      </c>
    </row>
    <row r="6" spans="1:43" ht="23.25" hidden="1" customHeight="1">
      <c r="A6" s="1290"/>
      <c r="B6" s="1290"/>
      <c r="C6" s="1290"/>
      <c r="D6" s="1290"/>
      <c r="E6" s="2252"/>
      <c r="F6" s="2252"/>
      <c r="G6" s="2252"/>
      <c r="H6" s="2252"/>
      <c r="I6" s="2254"/>
      <c r="J6" s="2253" t="e">
        <f>I5&amp;".1"</f>
        <v>#N/A</v>
      </c>
      <c r="K6" s="1290"/>
      <c r="L6" s="1291" t="s">
        <v>412</v>
      </c>
      <c r="P6" s="2255"/>
      <c r="Q6" s="2255">
        <v>1</v>
      </c>
      <c r="R6" s="294"/>
      <c r="S6" s="1384" t="e">
        <f>$J6</f>
        <v>#N/A</v>
      </c>
      <c r="T6" s="224" t="s">
        <v>413</v>
      </c>
      <c r="U6" s="238"/>
      <c r="V6" s="2239"/>
      <c r="W6" s="2240"/>
      <c r="X6" s="2240"/>
      <c r="Y6" s="2240"/>
      <c r="Z6" s="2240"/>
      <c r="AA6" s="2240"/>
      <c r="AB6" s="2241"/>
      <c r="AC6" s="2239"/>
      <c r="AD6" s="2240"/>
      <c r="AE6" s="2240"/>
      <c r="AF6" s="2240"/>
      <c r="AG6" s="2240"/>
      <c r="AH6" s="2240"/>
      <c r="AI6" s="2240"/>
      <c r="AJ6" s="2241"/>
      <c r="AK6" s="1234" t="s">
        <v>498</v>
      </c>
      <c r="AM6" s="437"/>
      <c r="AN6" s="437" t="str">
        <f t="shared" si="0"/>
        <v>Группа потребителей</v>
      </c>
      <c r="AO6" s="437"/>
      <c r="AP6" s="437"/>
      <c r="AQ6" s="1082">
        <v>0</v>
      </c>
    </row>
    <row r="7" spans="1:43" ht="23.25" hidden="1" customHeight="1">
      <c r="A7" s="1290"/>
      <c r="B7" s="1290"/>
      <c r="C7" s="1290"/>
      <c r="D7" s="1290"/>
      <c r="E7" s="2252"/>
      <c r="F7" s="2252"/>
      <c r="G7" s="2252"/>
      <c r="H7" s="2252"/>
      <c r="I7" s="2254"/>
      <c r="J7" s="2254"/>
      <c r="K7" s="2253" t="e">
        <f>J6&amp;".1"</f>
        <v>#N/A</v>
      </c>
      <c r="L7" s="1291"/>
      <c r="P7" s="2255"/>
      <c r="Q7" s="2255"/>
      <c r="R7" s="294">
        <v>1</v>
      </c>
      <c r="S7" s="1384" t="e">
        <f>$K7</f>
        <v>#N/A</v>
      </c>
      <c r="T7" s="1364"/>
      <c r="U7" s="238"/>
      <c r="V7" s="688"/>
      <c r="W7" s="688"/>
      <c r="X7" s="1184"/>
      <c r="Y7" s="2256"/>
      <c r="Z7" s="2126" t="s">
        <v>66</v>
      </c>
      <c r="AA7" s="2256"/>
      <c r="AB7" s="2126" t="s">
        <v>66</v>
      </c>
      <c r="AC7" s="688"/>
      <c r="AD7" s="688"/>
      <c r="AE7" s="1184"/>
      <c r="AF7" s="2256"/>
      <c r="AG7" s="2126" t="s">
        <v>66</v>
      </c>
      <c r="AH7" s="2258"/>
      <c r="AI7" s="2126" t="s">
        <v>66</v>
      </c>
      <c r="AJ7" s="1365"/>
      <c r="AK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52"/>
      <c r="F8" s="2252"/>
      <c r="G8" s="2252"/>
      <c r="H8" s="2252"/>
      <c r="I8" s="2254"/>
      <c r="J8" s="2254"/>
      <c r="K8" s="2253"/>
      <c r="L8" s="1291"/>
      <c r="P8" s="2255"/>
      <c r="Q8" s="2255"/>
      <c r="R8" s="294"/>
      <c r="S8" s="1383"/>
      <c r="T8" s="238"/>
      <c r="U8" s="238"/>
      <c r="V8" s="263"/>
      <c r="W8" s="263"/>
      <c r="X8" s="266" t="str">
        <f>Y7&amp;"-"&amp;AA7</f>
        <v>-</v>
      </c>
      <c r="Y8" s="2257"/>
      <c r="Z8" s="2126"/>
      <c r="AA8" s="2257"/>
      <c r="AB8" s="2126"/>
      <c r="AC8" s="263"/>
      <c r="AD8" s="263"/>
      <c r="AE8" s="266" t="str">
        <f>AF7&amp;"-"&amp;AH7</f>
        <v>-</v>
      </c>
      <c r="AF8" s="2257"/>
      <c r="AG8" s="2126"/>
      <c r="AH8" s="2259"/>
      <c r="AI8" s="2126"/>
      <c r="AJ8" s="1366"/>
      <c r="AK8" s="2336"/>
      <c r="AM8" s="437"/>
      <c r="AN8" s="437" t="str">
        <f t="shared" si="0"/>
        <v/>
      </c>
      <c r="AO8" s="437"/>
      <c r="AP8" s="437"/>
      <c r="AQ8" s="1082">
        <v>0</v>
      </c>
    </row>
    <row r="9" spans="1:43" ht="21" hidden="1" customHeight="1">
      <c r="A9" s="1290"/>
      <c r="B9" s="1290"/>
      <c r="C9" s="1290"/>
      <c r="D9" s="1290"/>
      <c r="E9" s="2252"/>
      <c r="F9" s="2252"/>
      <c r="G9" s="2252"/>
      <c r="H9" s="2252"/>
      <c r="I9" s="2254"/>
      <c r="J9" s="2253"/>
      <c r="K9" s="1290"/>
      <c r="L9" s="1291"/>
      <c r="P9" s="2255"/>
      <c r="Q9" s="2255"/>
      <c r="R9" s="293"/>
      <c r="S9" s="1205"/>
      <c r="T9" s="225" t="s">
        <v>499</v>
      </c>
      <c r="U9" s="304"/>
      <c r="V9" s="304"/>
      <c r="W9" s="304"/>
      <c r="X9" s="304"/>
      <c r="Y9" s="304"/>
      <c r="Z9" s="304"/>
      <c r="AA9" s="304"/>
      <c r="AB9" s="304"/>
      <c r="AC9" s="304"/>
      <c r="AD9" s="304"/>
      <c r="AE9" s="304"/>
      <c r="AF9" s="304"/>
      <c r="AG9" s="304"/>
      <c r="AH9" s="304"/>
      <c r="AI9" s="304"/>
      <c r="AJ9" s="304"/>
      <c r="AK9" s="1185" t="s">
        <v>500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52"/>
      <c r="F10" s="2252"/>
      <c r="G10" s="2252"/>
      <c r="H10" s="2252"/>
      <c r="I10" s="2253"/>
      <c r="J10" s="1290"/>
      <c r="K10" s="1290"/>
      <c r="L10" s="1291"/>
      <c r="P10" s="225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52"/>
      <c r="F12" s="2251"/>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49"/>
      <c r="AG15" s="2248" t="s">
        <v>66</v>
      </c>
      <c r="AH15" s="2249"/>
      <c r="AI15" s="2248" t="s">
        <v>66</v>
      </c>
      <c r="AQ15" s="1082">
        <v>0</v>
      </c>
    </row>
    <row r="16" spans="1:43" ht="14.25" hidden="1" customHeight="1">
      <c r="AC16" s="1287"/>
      <c r="AD16" s="1287"/>
      <c r="AE16" s="266" t="str">
        <f>AF15&amp;"-"&amp;AH15</f>
        <v>-</v>
      </c>
      <c r="AF16" s="2248"/>
      <c r="AG16" s="2248"/>
      <c r="AH16" s="2248"/>
      <c r="AI16" s="224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70"/>
      <c r="AQ24" s="1082">
        <v>14</v>
      </c>
    </row>
    <row r="25" spans="1:43"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64"/>
      <c r="AC27" s="2244" t="str">
        <f>IF(TITLE_NAME_OR_PR_CHANGE="",IF(TITLE_NAME_OR_PR="","",TITLE_NAME_OR_PR),TITLE_NAME_OR_PR_CHANGE)</f>
        <v/>
      </c>
      <c r="AD27" s="2244"/>
      <c r="AE27" s="2244"/>
      <c r="AF27" s="2244"/>
      <c r="AG27" s="2244"/>
      <c r="AH27" s="224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64"/>
      <c r="AC28" s="2243">
        <f>IF(TITLE_DATE_PR_CHANGE="",IF(TITLE_DATE_PR="","",TITLE_DATE_PR),TITLE_DATE_PR_CHANGE)</f>
        <v>45777</v>
      </c>
      <c r="AD28" s="2243"/>
      <c r="AE28" s="2243"/>
      <c r="AF28" s="2243"/>
      <c r="AG28" s="2243"/>
      <c r="AH28" s="224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64"/>
      <c r="AC29" s="2244" t="str">
        <f>IF(TITLE_NUMBER_PR_CHANGE="",IF(TITLE_NUMBER_PR="","",TITLE_NUMBER_PR),TITLE_NUMBER_PR_CHANGE)</f>
        <v>466</v>
      </c>
      <c r="AD29" s="2244"/>
      <c r="AE29" s="2244"/>
      <c r="AF29" s="2244"/>
      <c r="AG29" s="2244"/>
      <c r="AH29" s="224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64"/>
      <c r="AC30" s="2244" t="str">
        <f>IF(TITLE_IST_PUB_CHANGE="",IF(TITLE_IST_PUB="","",TITLE_IST_PUB),TITLE_IST_PUB_CHANGE)</f>
        <v/>
      </c>
      <c r="AD30" s="2244"/>
      <c r="AE30" s="2244"/>
      <c r="AF30" s="2244"/>
      <c r="AG30" s="2244"/>
      <c r="AH30" s="224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64"/>
      <c r="AC32" s="2243">
        <f>IF(TITLE_DATE_PR_CHANGE="",IF(TITLE_DATE_PR="","",TITLE_DATE_PR),TITLE_DATE_PR_CHANGE)</f>
        <v>45777</v>
      </c>
      <c r="AD32" s="2243"/>
      <c r="AE32" s="2243"/>
      <c r="AF32" s="2243"/>
      <c r="AG32" s="2243"/>
      <c r="AH32" s="224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64"/>
      <c r="AC33" s="2244" t="str">
        <f>IF(TITLE_NUMBER_PR_CHANGE="",IF(TITLE_NUMBER_PR="","",TITLE_NUMBER_PR),TITLE_NUMBER_PR_CHANGE)</f>
        <v>466</v>
      </c>
      <c r="AD33" s="2244"/>
      <c r="AE33" s="2244"/>
      <c r="AF33" s="2244"/>
      <c r="AG33" s="2244"/>
      <c r="AH33" s="224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63"/>
      <c r="W35" s="2263"/>
      <c r="X35" s="2263"/>
      <c r="Y35" s="2263"/>
      <c r="Z35" s="2263"/>
      <c r="AA35" s="2263"/>
      <c r="AB35" s="2263"/>
      <c r="AC35" s="2263"/>
      <c r="AD35" s="2263"/>
      <c r="AE35" s="2263"/>
      <c r="AF35" s="2263"/>
      <c r="AG35" s="2263"/>
      <c r="AH35" s="2263"/>
      <c r="AI35" s="2263"/>
      <c r="AQ35" s="1082">
        <v>14</v>
      </c>
    </row>
    <row r="36" spans="1:43"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t="s">
        <v>307</v>
      </c>
      <c r="AQ36" s="1082">
        <v>14</v>
      </c>
    </row>
    <row r="37" spans="1:43" ht="14.65" customHeight="1">
      <c r="Q37" s="313"/>
      <c r="R37" s="313"/>
      <c r="S37" s="2264" t="s">
        <v>88</v>
      </c>
      <c r="T37" s="2212" t="s">
        <v>431</v>
      </c>
      <c r="U37" s="239"/>
      <c r="V37" s="2265" t="s">
        <v>432</v>
      </c>
      <c r="W37" s="2266"/>
      <c r="X37" s="2266"/>
      <c r="Y37" s="2266"/>
      <c r="Z37" s="2266"/>
      <c r="AA37" s="2267"/>
      <c r="AB37" s="2268" t="s">
        <v>433</v>
      </c>
      <c r="AC37" s="2265" t="s">
        <v>432</v>
      </c>
      <c r="AD37" s="2266"/>
      <c r="AE37" s="2266"/>
      <c r="AF37" s="2266"/>
      <c r="AG37" s="2266"/>
      <c r="AH37" s="2267"/>
      <c r="AI37" s="2268" t="s">
        <v>434</v>
      </c>
      <c r="AJ37" s="2271" t="s">
        <v>435</v>
      </c>
      <c r="AK37" s="2116"/>
      <c r="AQ37" s="1082">
        <v>14</v>
      </c>
    </row>
    <row r="38" spans="1:43" ht="35.65" customHeight="1">
      <c r="Q38" s="313"/>
      <c r="R38" s="313"/>
      <c r="S38" s="2264"/>
      <c r="T38" s="2212"/>
      <c r="U38" s="961"/>
      <c r="V38" s="1379" t="s">
        <v>502</v>
      </c>
      <c r="W38" s="2098" t="s">
        <v>438</v>
      </c>
      <c r="X38" s="2097"/>
      <c r="Y38" s="2098" t="s">
        <v>439</v>
      </c>
      <c r="Z38" s="2103"/>
      <c r="AA38" s="2097"/>
      <c r="AB38" s="2269"/>
      <c r="AC38" s="1379" t="s">
        <v>502</v>
      </c>
      <c r="AD38" s="2098" t="s">
        <v>438</v>
      </c>
      <c r="AE38" s="2097"/>
      <c r="AF38" s="2098" t="s">
        <v>439</v>
      </c>
      <c r="AG38" s="2103"/>
      <c r="AH38" s="2097"/>
      <c r="AI38" s="2269"/>
      <c r="AJ38" s="2272"/>
      <c r="AK38" s="2116"/>
      <c r="AQ38" s="1082">
        <v>34</v>
      </c>
    </row>
    <row r="39" spans="1:43" ht="35.65" customHeight="1">
      <c r="A39" s="1297"/>
      <c r="B39" s="1297" t="s">
        <v>136</v>
      </c>
      <c r="C39" s="1297" t="s">
        <v>137</v>
      </c>
      <c r="D39" s="1297" t="s">
        <v>138</v>
      </c>
      <c r="E39" s="1291" t="s">
        <v>440</v>
      </c>
      <c r="F39" s="1291" t="s">
        <v>441</v>
      </c>
      <c r="G39" s="1291" t="s">
        <v>442</v>
      </c>
      <c r="H39" s="1291"/>
      <c r="I39" s="1291" t="s">
        <v>503</v>
      </c>
      <c r="J39" s="1291" t="s">
        <v>445</v>
      </c>
      <c r="K39" s="1291" t="s">
        <v>504</v>
      </c>
      <c r="L39" s="1291" t="s">
        <v>421</v>
      </c>
      <c r="Q39" s="313"/>
      <c r="R39" s="313"/>
      <c r="S39" s="2264"/>
      <c r="T39" s="2212"/>
      <c r="U39" s="240"/>
      <c r="V39" s="1379" t="s">
        <v>505</v>
      </c>
      <c r="W39" s="1149" t="s">
        <v>506</v>
      </c>
      <c r="X39" s="1149" t="s">
        <v>507</v>
      </c>
      <c r="Y39" s="1382" t="s">
        <v>449</v>
      </c>
      <c r="Z39" s="2217" t="s">
        <v>450</v>
      </c>
      <c r="AA39" s="2231"/>
      <c r="AB39" s="2270"/>
      <c r="AC39" s="1379" t="s">
        <v>505</v>
      </c>
      <c r="AD39" s="1149" t="s">
        <v>506</v>
      </c>
      <c r="AE39" s="1149" t="s">
        <v>507</v>
      </c>
      <c r="AF39" s="1382" t="s">
        <v>449</v>
      </c>
      <c r="AG39" s="2217" t="s">
        <v>450</v>
      </c>
      <c r="AH39" s="2231"/>
      <c r="AI39" s="2270"/>
      <c r="AJ39" s="2273"/>
      <c r="AK39" s="211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62">
        <f ca="1">OFFSET(Z40,0,-1)+1</f>
        <v>7</v>
      </c>
      <c r="AA40" s="2262"/>
      <c r="AB40" s="1378">
        <f ca="1">OFFSET(AB40,0,-2)+1</f>
        <v>8</v>
      </c>
      <c r="AC40" s="1378">
        <f ca="1">OFFSET(AC40,0,-1)+1</f>
        <v>9</v>
      </c>
      <c r="AD40" s="1378">
        <f ca="1">OFFSET(AD40,0,-1)+1</f>
        <v>10</v>
      </c>
      <c r="AE40" s="1378">
        <f ca="1">OFFSET(AE40,0,-1)+1</f>
        <v>11</v>
      </c>
      <c r="AF40" s="1378">
        <f ca="1">OFFSET(AF40,0,-1)+1</f>
        <v>12</v>
      </c>
      <c r="AG40" s="2262">
        <f ca="1">OFFSET(AG40,0,-1)+1</f>
        <v>13</v>
      </c>
      <c r="AH40" s="2262"/>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5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52"/>
      <c r="F42" s="225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52"/>
      <c r="F43" s="2252"/>
      <c r="G43" s="2251">
        <v>1</v>
      </c>
      <c r="H43" s="1290"/>
      <c r="I43" s="1290"/>
      <c r="J43" s="1290"/>
      <c r="K43" s="1290"/>
      <c r="L43" s="1291"/>
      <c r="M43" s="1292"/>
      <c r="N43" s="1292"/>
      <c r="O43" s="1292"/>
      <c r="P43" s="291"/>
      <c r="Q43" s="289"/>
      <c r="R43" s="290"/>
      <c r="S43" s="1384" t="str">
        <f>INDEX(PT_DIFFERENTIATION_NUM_CS,MATCH(C43,PT_DIFFERENTIATION_CS_ID,0))</f>
        <v>..</v>
      </c>
      <c r="T43" s="247" t="s">
        <v>494</v>
      </c>
      <c r="U43" s="238"/>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5" t="s">
        <v>495</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509</v>
      </c>
      <c r="E44" s="2252"/>
      <c r="F44" s="2252"/>
      <c r="G44" s="2252"/>
      <c r="H44" s="2252"/>
      <c r="I44" s="2253" t="str">
        <f>S43&amp;".1"</f>
        <v>...1</v>
      </c>
      <c r="J44" s="1290"/>
      <c r="K44" s="1290"/>
      <c r="L44" s="1291"/>
      <c r="P44" s="2255">
        <v>1</v>
      </c>
      <c r="Q44" s="1377"/>
      <c r="R44" s="293"/>
      <c r="S44" s="1384" t="str">
        <f>$I44</f>
        <v>...1</v>
      </c>
      <c r="T44" s="223" t="s">
        <v>496</v>
      </c>
      <c r="U44" s="238"/>
      <c r="V44" s="2330"/>
      <c r="W44" s="2331"/>
      <c r="X44" s="2331"/>
      <c r="Y44" s="2331"/>
      <c r="Z44" s="2331"/>
      <c r="AA44" s="2331"/>
      <c r="AB44" s="2332"/>
      <c r="AC44" s="2333"/>
      <c r="AD44" s="2334"/>
      <c r="AE44" s="2334"/>
      <c r="AF44" s="2334"/>
      <c r="AG44" s="2334"/>
      <c r="AH44" s="2334"/>
      <c r="AI44" s="2334"/>
      <c r="AJ44" s="2335"/>
      <c r="AK44" s="1185" t="s">
        <v>497</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509</v>
      </c>
      <c r="E45" s="2252"/>
      <c r="F45" s="2252"/>
      <c r="G45" s="2252"/>
      <c r="H45" s="2252"/>
      <c r="I45" s="2254"/>
      <c r="J45" s="2253" t="str">
        <f>I44&amp;".1"</f>
        <v>...1.1</v>
      </c>
      <c r="K45" s="1290"/>
      <c r="L45" s="1291" t="s">
        <v>412</v>
      </c>
      <c r="P45" s="2255"/>
      <c r="Q45" s="2255">
        <v>1</v>
      </c>
      <c r="R45" s="294"/>
      <c r="S45" s="1384" t="str">
        <f>$J45</f>
        <v>...1.1</v>
      </c>
      <c r="T45" s="224" t="s">
        <v>413</v>
      </c>
      <c r="U45" s="238"/>
      <c r="V45" s="2239"/>
      <c r="W45" s="2240"/>
      <c r="X45" s="2240"/>
      <c r="Y45" s="2240"/>
      <c r="Z45" s="2240"/>
      <c r="AA45" s="2240"/>
      <c r="AB45" s="2241"/>
      <c r="AC45" s="2239"/>
      <c r="AD45" s="2240"/>
      <c r="AE45" s="2240"/>
      <c r="AF45" s="2240"/>
      <c r="AG45" s="2240"/>
      <c r="AH45" s="2240"/>
      <c r="AI45" s="2240"/>
      <c r="AJ45" s="2241"/>
      <c r="AK45" s="1234" t="s">
        <v>498</v>
      </c>
      <c r="AM45" s="437"/>
      <c r="AN45" s="437" t="str">
        <f t="shared" si="1"/>
        <v>Группа потребителей</v>
      </c>
      <c r="AO45" s="437"/>
      <c r="AP45" s="437"/>
      <c r="AQ45" s="1082">
        <v>23</v>
      </c>
    </row>
    <row r="46" spans="1:43" ht="24" customHeight="1">
      <c r="A46" s="1290" t="s">
        <v>237</v>
      </c>
      <c r="B46" s="1290" t="s">
        <v>238</v>
      </c>
      <c r="C46" s="1290" t="s">
        <v>239</v>
      </c>
      <c r="D46" s="1290" t="s">
        <v>509</v>
      </c>
      <c r="E46" s="2252"/>
      <c r="F46" s="2252"/>
      <c r="G46" s="2252"/>
      <c r="H46" s="2252"/>
      <c r="I46" s="2254"/>
      <c r="J46" s="2254"/>
      <c r="K46" s="2253" t="str">
        <f>J45&amp;".1"</f>
        <v>...1.1.1</v>
      </c>
      <c r="L46" s="1291"/>
      <c r="P46" s="2255"/>
      <c r="Q46" s="2255"/>
      <c r="R46" s="294">
        <v>1</v>
      </c>
      <c r="S46" s="1384" t="str">
        <f>$K46</f>
        <v>...1.1.1</v>
      </c>
      <c r="T46" s="1364"/>
      <c r="U46" s="238"/>
      <c r="V46" s="688"/>
      <c r="W46" s="688"/>
      <c r="X46" s="1184"/>
      <c r="Y46" s="2256"/>
      <c r="Z46" s="2126" t="s">
        <v>66</v>
      </c>
      <c r="AA46" s="2256"/>
      <c r="AB46" s="2126" t="s">
        <v>66</v>
      </c>
      <c r="AC46" s="688"/>
      <c r="AD46" s="688"/>
      <c r="AE46" s="1184"/>
      <c r="AF46" s="2256"/>
      <c r="AG46" s="2126" t="s">
        <v>66</v>
      </c>
      <c r="AH46" s="2258"/>
      <c r="AI46" s="2126" t="s">
        <v>66</v>
      </c>
      <c r="AJ46" s="1365"/>
      <c r="AK46"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509</v>
      </c>
      <c r="E47" s="2252"/>
      <c r="F47" s="2252"/>
      <c r="G47" s="2252"/>
      <c r="H47" s="2252"/>
      <c r="I47" s="2254"/>
      <c r="J47" s="2254"/>
      <c r="K47" s="2253"/>
      <c r="L47" s="1291"/>
      <c r="P47" s="2255"/>
      <c r="Q47" s="2255"/>
      <c r="R47" s="294"/>
      <c r="S47" s="1383"/>
      <c r="T47" s="238"/>
      <c r="U47" s="238"/>
      <c r="V47" s="263"/>
      <c r="W47" s="263"/>
      <c r="X47" s="266" t="str">
        <f>Y46&amp;"-"&amp;AA46</f>
        <v>-</v>
      </c>
      <c r="Y47" s="2257"/>
      <c r="Z47" s="2126"/>
      <c r="AA47" s="2257"/>
      <c r="AB47" s="2126"/>
      <c r="AC47" s="263"/>
      <c r="AD47" s="263"/>
      <c r="AE47" s="266" t="str">
        <f>AF46&amp;"-"&amp;AH46</f>
        <v>-</v>
      </c>
      <c r="AF47" s="2257"/>
      <c r="AG47" s="2126"/>
      <c r="AH47" s="2259"/>
      <c r="AI47" s="2126"/>
      <c r="AJ47" s="1366"/>
      <c r="AK47" s="2336"/>
      <c r="AM47" s="437"/>
      <c r="AN47" s="437" t="str">
        <f t="shared" si="1"/>
        <v/>
      </c>
      <c r="AO47" s="437"/>
      <c r="AP47" s="437"/>
      <c r="AQ47" s="1082">
        <v>0</v>
      </c>
    </row>
    <row r="48" spans="1:43" ht="21" customHeight="1">
      <c r="A48" s="1290" t="s">
        <v>237</v>
      </c>
      <c r="B48" s="1290" t="s">
        <v>238</v>
      </c>
      <c r="C48" s="1290" t="s">
        <v>239</v>
      </c>
      <c r="D48" s="1290" t="s">
        <v>509</v>
      </c>
      <c r="E48" s="2252"/>
      <c r="F48" s="2252"/>
      <c r="G48" s="2252"/>
      <c r="H48" s="2252"/>
      <c r="I48" s="2254"/>
      <c r="J48" s="2253"/>
      <c r="K48" s="1290"/>
      <c r="L48" s="1291"/>
      <c r="P48" s="2255"/>
      <c r="Q48" s="2255"/>
      <c r="R48" s="293"/>
      <c r="S48" s="1205"/>
      <c r="T48" s="225" t="s">
        <v>499</v>
      </c>
      <c r="U48" s="304"/>
      <c r="V48" s="304"/>
      <c r="W48" s="304"/>
      <c r="X48" s="304"/>
      <c r="Y48" s="304"/>
      <c r="Z48" s="304"/>
      <c r="AA48" s="304"/>
      <c r="AB48" s="304"/>
      <c r="AC48" s="304"/>
      <c r="AD48" s="304"/>
      <c r="AE48" s="304"/>
      <c r="AF48" s="304"/>
      <c r="AG48" s="304"/>
      <c r="AH48" s="304"/>
      <c r="AI48" s="304"/>
      <c r="AJ48" s="304"/>
      <c r="AK48" s="1185" t="s">
        <v>500</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509</v>
      </c>
      <c r="E49" s="2252"/>
      <c r="F49" s="2252"/>
      <c r="G49" s="2252"/>
      <c r="H49" s="2252"/>
      <c r="I49" s="2253"/>
      <c r="J49" s="1290"/>
      <c r="K49" s="1290"/>
      <c r="L49" s="1291"/>
      <c r="P49" s="225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509</v>
      </c>
      <c r="E50" s="2252"/>
      <c r="F50" s="2252"/>
      <c r="G50" s="2252"/>
      <c r="H50" s="2251"/>
      <c r="I50" s="1290"/>
      <c r="J50" s="1290"/>
      <c r="K50" s="1290"/>
      <c r="L50" s="1291"/>
      <c r="M50" s="1292"/>
      <c r="N50" s="1292"/>
      <c r="O50" s="474"/>
      <c r="P50" s="297"/>
      <c r="Q50" s="312"/>
      <c r="R50" s="292"/>
      <c r="S50" s="1205"/>
      <c r="T50" s="309" t="s">
        <v>501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52"/>
      <c r="F51" s="2251"/>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51"/>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51">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45"/>
      <c r="W2" s="2246"/>
      <c r="X2" s="2246"/>
      <c r="Y2" s="2246"/>
      <c r="Z2" s="2246"/>
      <c r="AA2" s="2246"/>
      <c r="AB2" s="2247"/>
      <c r="AC2" s="2245" t="e">
        <f>INDEX(PT_DIFFERENTIATION_NTAR,MATCH(A2,PT_DIFFERENTIATION_NTAR_ID,0))</f>
        <v>#N/A</v>
      </c>
      <c r="AD2" s="2246"/>
      <c r="AE2" s="2246"/>
      <c r="AF2" s="2246"/>
      <c r="AG2" s="2246"/>
      <c r="AH2" s="2246"/>
      <c r="AI2" s="2246"/>
      <c r="AJ2" s="224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52"/>
      <c r="F3" s="225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45"/>
      <c r="W3" s="2246"/>
      <c r="X3" s="2246"/>
      <c r="Y3" s="2246"/>
      <c r="Z3" s="2246"/>
      <c r="AA3" s="2246"/>
      <c r="AB3" s="2247"/>
      <c r="AC3" s="2245" t="e">
        <f>INDEX(PT_DIFFERENTIATION_TER,MATCH(B3,PT_DIFFERENTIATION_TER_ID,0))</f>
        <v>#N/A</v>
      </c>
      <c r="AD3" s="2246"/>
      <c r="AE3" s="2246"/>
      <c r="AF3" s="2246"/>
      <c r="AG3" s="2246"/>
      <c r="AH3" s="2246"/>
      <c r="AI3" s="2246"/>
      <c r="AJ3" s="2247"/>
      <c r="AK3" s="1185" t="s">
        <v>404</v>
      </c>
      <c r="AM3" s="437"/>
      <c r="AN3" s="437" t="str">
        <f t="shared" si="0"/>
        <v>Территория действия тарифа</v>
      </c>
      <c r="AO3" s="437"/>
      <c r="AP3" s="437"/>
      <c r="AQ3" s="1082">
        <v>0</v>
      </c>
    </row>
    <row r="4" spans="1:43" ht="23.25" hidden="1" customHeight="1">
      <c r="A4" s="1290"/>
      <c r="B4" s="1290"/>
      <c r="C4" s="1290"/>
      <c r="D4" s="1290"/>
      <c r="E4" s="2252"/>
      <c r="F4" s="2252"/>
      <c r="G4" s="2251">
        <v>1</v>
      </c>
      <c r="H4" s="1290"/>
      <c r="I4" s="1290"/>
      <c r="J4" s="1290"/>
      <c r="K4" s="1290"/>
      <c r="L4" s="1291"/>
      <c r="M4" s="1292"/>
      <c r="N4" s="1292"/>
      <c r="O4" s="1292"/>
      <c r="P4" s="291"/>
      <c r="Q4" s="289"/>
      <c r="R4" s="290"/>
      <c r="S4" s="1384" t="e">
        <f>INDEX(PT_DIFFERENTIATION_NUM_CS,MATCH(C4,PT_DIFFERENTIATION_CS_ID,0))</f>
        <v>#N/A</v>
      </c>
      <c r="T4" s="247" t="s">
        <v>494</v>
      </c>
      <c r="U4" s="238"/>
      <c r="V4" s="2245"/>
      <c r="W4" s="2246"/>
      <c r="X4" s="2246"/>
      <c r="Y4" s="2246"/>
      <c r="Z4" s="2246"/>
      <c r="AA4" s="2246"/>
      <c r="AB4" s="2247"/>
      <c r="AC4" s="2245" t="e">
        <f>INDEX(PT_DIFFERENTIATION_CS,MATCH(C4,PT_DIFFERENTIATION_CS_ID,0))</f>
        <v>#N/A</v>
      </c>
      <c r="AD4" s="2246"/>
      <c r="AE4" s="2246"/>
      <c r="AF4" s="2246"/>
      <c r="AG4" s="2246"/>
      <c r="AH4" s="2246"/>
      <c r="AI4" s="2246"/>
      <c r="AJ4" s="2247"/>
      <c r="AK4" s="1185" t="s">
        <v>495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52"/>
      <c r="F5" s="2252"/>
      <c r="G5" s="2252"/>
      <c r="H5" s="2252"/>
      <c r="I5" s="2253" t="e">
        <f>S4&amp;".1"</f>
        <v>#N/A</v>
      </c>
      <c r="J5" s="1290"/>
      <c r="K5" s="1290"/>
      <c r="L5" s="1291"/>
      <c r="P5" s="2255">
        <v>1</v>
      </c>
      <c r="Q5" s="1377"/>
      <c r="R5" s="293"/>
      <c r="S5" s="1384" t="e">
        <f>$I5</f>
        <v>#N/A</v>
      </c>
      <c r="T5" s="223" t="s">
        <v>496</v>
      </c>
      <c r="U5" s="238"/>
      <c r="V5" s="2330"/>
      <c r="W5" s="2331"/>
      <c r="X5" s="2331"/>
      <c r="Y5" s="2331"/>
      <c r="Z5" s="2331"/>
      <c r="AA5" s="2331"/>
      <c r="AB5" s="2332"/>
      <c r="AC5" s="2333"/>
      <c r="AD5" s="2334"/>
      <c r="AE5" s="2334"/>
      <c r="AF5" s="2334"/>
      <c r="AG5" s="2334"/>
      <c r="AH5" s="2334"/>
      <c r="AI5" s="2334"/>
      <c r="AJ5" s="2335"/>
      <c r="AK5" s="1185" t="s">
        <v>497</v>
      </c>
      <c r="AM5" s="437"/>
      <c r="AN5" s="437" t="str">
        <f t="shared" si="0"/>
        <v>Наименование признака дифференциации</v>
      </c>
      <c r="AO5" s="437"/>
      <c r="AP5" s="437"/>
      <c r="AQ5" s="1082">
        <v>0</v>
      </c>
    </row>
    <row r="6" spans="1:43" ht="23.25" hidden="1" customHeight="1">
      <c r="A6" s="1290"/>
      <c r="B6" s="1290"/>
      <c r="C6" s="1290"/>
      <c r="D6" s="1290"/>
      <c r="E6" s="2252"/>
      <c r="F6" s="2252"/>
      <c r="G6" s="2252"/>
      <c r="H6" s="2252"/>
      <c r="I6" s="2254"/>
      <c r="J6" s="2253" t="e">
        <f>I5&amp;".1"</f>
        <v>#N/A</v>
      </c>
      <c r="K6" s="1290"/>
      <c r="L6" s="1291" t="s">
        <v>412</v>
      </c>
      <c r="P6" s="2255"/>
      <c r="Q6" s="2255">
        <v>1</v>
      </c>
      <c r="R6" s="294"/>
      <c r="S6" s="1384" t="e">
        <f>$J6</f>
        <v>#N/A</v>
      </c>
      <c r="T6" s="224" t="s">
        <v>413</v>
      </c>
      <c r="U6" s="238"/>
      <c r="V6" s="2239"/>
      <c r="W6" s="2240"/>
      <c r="X6" s="2240"/>
      <c r="Y6" s="2240"/>
      <c r="Z6" s="2240"/>
      <c r="AA6" s="2240"/>
      <c r="AB6" s="2241"/>
      <c r="AC6" s="2239"/>
      <c r="AD6" s="2240"/>
      <c r="AE6" s="2240"/>
      <c r="AF6" s="2240"/>
      <c r="AG6" s="2240"/>
      <c r="AH6" s="2240"/>
      <c r="AI6" s="2240"/>
      <c r="AJ6" s="2241"/>
      <c r="AK6" s="1234" t="s">
        <v>498</v>
      </c>
      <c r="AM6" s="437"/>
      <c r="AN6" s="437" t="str">
        <f t="shared" si="0"/>
        <v>Группа потребителей</v>
      </c>
      <c r="AO6" s="437"/>
      <c r="AP6" s="437"/>
      <c r="AQ6" s="1082">
        <v>0</v>
      </c>
    </row>
    <row r="7" spans="1:43" ht="23.25" hidden="1" customHeight="1">
      <c r="A7" s="1290"/>
      <c r="B7" s="1290"/>
      <c r="C7" s="1290"/>
      <c r="D7" s="1290"/>
      <c r="E7" s="2252"/>
      <c r="F7" s="2252"/>
      <c r="G7" s="2252"/>
      <c r="H7" s="2252"/>
      <c r="I7" s="2254"/>
      <c r="J7" s="2254"/>
      <c r="K7" s="2253" t="e">
        <f>J6&amp;".1"</f>
        <v>#N/A</v>
      </c>
      <c r="L7" s="1291"/>
      <c r="P7" s="2255"/>
      <c r="Q7" s="2255"/>
      <c r="R7" s="294">
        <v>1</v>
      </c>
      <c r="S7" s="1384" t="e">
        <f>$K7</f>
        <v>#N/A</v>
      </c>
      <c r="T7" s="1364"/>
      <c r="U7" s="238"/>
      <c r="V7" s="688"/>
      <c r="W7" s="688"/>
      <c r="X7" s="1184"/>
      <c r="Y7" s="2256"/>
      <c r="Z7" s="2126" t="s">
        <v>66</v>
      </c>
      <c r="AA7" s="2256"/>
      <c r="AB7" s="2126" t="s">
        <v>66</v>
      </c>
      <c r="AC7" s="688"/>
      <c r="AD7" s="688"/>
      <c r="AE7" s="1184"/>
      <c r="AF7" s="2256"/>
      <c r="AG7" s="2126" t="s">
        <v>66</v>
      </c>
      <c r="AH7" s="2258"/>
      <c r="AI7" s="2126" t="s">
        <v>66</v>
      </c>
      <c r="AJ7" s="1365"/>
      <c r="AK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52"/>
      <c r="F8" s="2252"/>
      <c r="G8" s="2252"/>
      <c r="H8" s="2252"/>
      <c r="I8" s="2254"/>
      <c r="J8" s="2254"/>
      <c r="K8" s="2253"/>
      <c r="L8" s="1291"/>
      <c r="P8" s="2255"/>
      <c r="Q8" s="2255"/>
      <c r="R8" s="294"/>
      <c r="S8" s="1383"/>
      <c r="T8" s="238"/>
      <c r="U8" s="238"/>
      <c r="V8" s="263"/>
      <c r="W8" s="263"/>
      <c r="X8" s="266" t="str">
        <f>Y7&amp;"-"&amp;AA7</f>
        <v>-</v>
      </c>
      <c r="Y8" s="2257"/>
      <c r="Z8" s="2126"/>
      <c r="AA8" s="2257"/>
      <c r="AB8" s="2126"/>
      <c r="AC8" s="263"/>
      <c r="AD8" s="263"/>
      <c r="AE8" s="266" t="str">
        <f>AF7&amp;"-"&amp;AH7</f>
        <v>-</v>
      </c>
      <c r="AF8" s="2257"/>
      <c r="AG8" s="2126"/>
      <c r="AH8" s="2259"/>
      <c r="AI8" s="2126"/>
      <c r="AJ8" s="1366"/>
      <c r="AK8" s="2336"/>
      <c r="AM8" s="437"/>
      <c r="AN8" s="437" t="str">
        <f t="shared" si="0"/>
        <v/>
      </c>
      <c r="AO8" s="437"/>
      <c r="AP8" s="437"/>
      <c r="AQ8" s="1082">
        <v>0</v>
      </c>
    </row>
    <row r="9" spans="1:43" ht="21" hidden="1" customHeight="1">
      <c r="A9" s="1290"/>
      <c r="B9" s="1290"/>
      <c r="C9" s="1290"/>
      <c r="D9" s="1290"/>
      <c r="E9" s="2252"/>
      <c r="F9" s="2252"/>
      <c r="G9" s="2252"/>
      <c r="H9" s="2252"/>
      <c r="I9" s="2254"/>
      <c r="J9" s="2253"/>
      <c r="K9" s="1290"/>
      <c r="L9" s="1291"/>
      <c r="P9" s="2255"/>
      <c r="Q9" s="2255"/>
      <c r="R9" s="293"/>
      <c r="S9" s="1205"/>
      <c r="T9" s="225" t="s">
        <v>499</v>
      </c>
      <c r="U9" s="304"/>
      <c r="V9" s="304"/>
      <c r="W9" s="304"/>
      <c r="X9" s="304"/>
      <c r="Y9" s="304"/>
      <c r="Z9" s="304"/>
      <c r="AA9" s="304"/>
      <c r="AB9" s="304"/>
      <c r="AC9" s="304"/>
      <c r="AD9" s="304"/>
      <c r="AE9" s="304"/>
      <c r="AF9" s="304"/>
      <c r="AG9" s="304"/>
      <c r="AH9" s="304"/>
      <c r="AI9" s="304"/>
      <c r="AJ9" s="304"/>
      <c r="AK9" s="1185" t="s">
        <v>500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52"/>
      <c r="F10" s="2252"/>
      <c r="G10" s="2252"/>
      <c r="H10" s="2252"/>
      <c r="I10" s="2253"/>
      <c r="J10" s="1290"/>
      <c r="K10" s="1290"/>
      <c r="L10" s="1291"/>
      <c r="P10" s="225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52"/>
      <c r="F12" s="2251"/>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49"/>
      <c r="AG15" s="2248" t="s">
        <v>66</v>
      </c>
      <c r="AH15" s="2249"/>
      <c r="AI15" s="2248" t="s">
        <v>66</v>
      </c>
      <c r="AQ15" s="1082">
        <v>0</v>
      </c>
    </row>
    <row r="16" spans="1:43" ht="14.25" hidden="1" customHeight="1">
      <c r="AC16" s="1287"/>
      <c r="AD16" s="1287"/>
      <c r="AE16" s="266" t="str">
        <f>AF15&amp;"-"&amp;AH15</f>
        <v>-</v>
      </c>
      <c r="AF16" s="2248"/>
      <c r="AG16" s="2248"/>
      <c r="AH16" s="2248"/>
      <c r="AI16" s="224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70"/>
      <c r="AQ24" s="1082">
        <v>14</v>
      </c>
    </row>
    <row r="25" spans="1:43"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64"/>
      <c r="AC27" s="2244" t="str">
        <f>IF(TITLE_NAME_OR_PR_CHANGE="",IF(TITLE_NAME_OR_PR="","",TITLE_NAME_OR_PR),TITLE_NAME_OR_PR_CHANGE)</f>
        <v/>
      </c>
      <c r="AD27" s="2244"/>
      <c r="AE27" s="2244"/>
      <c r="AF27" s="2244"/>
      <c r="AG27" s="2244"/>
      <c r="AH27" s="224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64"/>
      <c r="AC28" s="2243">
        <f>IF(TITLE_DATE_PR_CHANGE="",IF(TITLE_DATE_PR="","",TITLE_DATE_PR),TITLE_DATE_PR_CHANGE)</f>
        <v>45777</v>
      </c>
      <c r="AD28" s="2243"/>
      <c r="AE28" s="2243"/>
      <c r="AF28" s="2243"/>
      <c r="AG28" s="2243"/>
      <c r="AH28" s="224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64"/>
      <c r="AC29" s="2244" t="str">
        <f>IF(TITLE_NUMBER_PR_CHANGE="",IF(TITLE_NUMBER_PR="","",TITLE_NUMBER_PR),TITLE_NUMBER_PR_CHANGE)</f>
        <v>466</v>
      </c>
      <c r="AD29" s="2244"/>
      <c r="AE29" s="2244"/>
      <c r="AF29" s="2244"/>
      <c r="AG29" s="2244"/>
      <c r="AH29" s="224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64"/>
      <c r="AC30" s="2244" t="str">
        <f>IF(TITLE_IST_PUB_CHANGE="",IF(TITLE_IST_PUB="","",TITLE_IST_PUB),TITLE_IST_PUB_CHANGE)</f>
        <v/>
      </c>
      <c r="AD30" s="2244"/>
      <c r="AE30" s="2244"/>
      <c r="AF30" s="2244"/>
      <c r="AG30" s="2244"/>
      <c r="AH30" s="224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64"/>
      <c r="AC32" s="2243">
        <f>IF(TITLE_DATE_PR_CHANGE="",IF(TITLE_DATE_PR="","",TITLE_DATE_PR),TITLE_DATE_PR_CHANGE)</f>
        <v>45777</v>
      </c>
      <c r="AD32" s="2243"/>
      <c r="AE32" s="2243"/>
      <c r="AF32" s="2243"/>
      <c r="AG32" s="2243"/>
      <c r="AH32" s="224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64"/>
      <c r="AC33" s="2244" t="str">
        <f>IF(TITLE_NUMBER_PR_CHANGE="",IF(TITLE_NUMBER_PR="","",TITLE_NUMBER_PR),TITLE_NUMBER_PR_CHANGE)</f>
        <v>466</v>
      </c>
      <c r="AD33" s="2244"/>
      <c r="AE33" s="2244"/>
      <c r="AF33" s="2244"/>
      <c r="AG33" s="2244"/>
      <c r="AH33" s="224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63"/>
      <c r="W35" s="2263"/>
      <c r="X35" s="2263"/>
      <c r="Y35" s="2263"/>
      <c r="Z35" s="2263"/>
      <c r="AA35" s="2263"/>
      <c r="AB35" s="2263"/>
      <c r="AC35" s="2263"/>
      <c r="AD35" s="2263"/>
      <c r="AE35" s="2263"/>
      <c r="AF35" s="2263"/>
      <c r="AG35" s="2263"/>
      <c r="AH35" s="2263"/>
      <c r="AI35" s="2263"/>
      <c r="AQ35" s="1082">
        <v>14</v>
      </c>
    </row>
    <row r="36" spans="1:43"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t="s">
        <v>307</v>
      </c>
      <c r="AQ36" s="1082">
        <v>14</v>
      </c>
    </row>
    <row r="37" spans="1:43" ht="14.65" customHeight="1">
      <c r="Q37" s="313"/>
      <c r="R37" s="313"/>
      <c r="S37" s="2264" t="s">
        <v>88</v>
      </c>
      <c r="T37" s="2212" t="s">
        <v>431</v>
      </c>
      <c r="U37" s="239"/>
      <c r="V37" s="2265" t="s">
        <v>432</v>
      </c>
      <c r="W37" s="2266"/>
      <c r="X37" s="2266"/>
      <c r="Y37" s="2266"/>
      <c r="Z37" s="2266"/>
      <c r="AA37" s="2267"/>
      <c r="AB37" s="2268" t="s">
        <v>433</v>
      </c>
      <c r="AC37" s="2265" t="s">
        <v>432</v>
      </c>
      <c r="AD37" s="2266"/>
      <c r="AE37" s="2266"/>
      <c r="AF37" s="2266"/>
      <c r="AG37" s="2266"/>
      <c r="AH37" s="2267"/>
      <c r="AI37" s="2268" t="s">
        <v>434</v>
      </c>
      <c r="AJ37" s="2271" t="s">
        <v>435</v>
      </c>
      <c r="AK37" s="2116"/>
      <c r="AQ37" s="1082">
        <v>14</v>
      </c>
    </row>
    <row r="38" spans="1:43" ht="35.65" customHeight="1">
      <c r="Q38" s="313"/>
      <c r="R38" s="313"/>
      <c r="S38" s="2264"/>
      <c r="T38" s="2212"/>
      <c r="U38" s="961"/>
      <c r="V38" s="1379" t="s">
        <v>502</v>
      </c>
      <c r="W38" s="2098" t="s">
        <v>438</v>
      </c>
      <c r="X38" s="2097"/>
      <c r="Y38" s="2098" t="s">
        <v>439</v>
      </c>
      <c r="Z38" s="2103"/>
      <c r="AA38" s="2097"/>
      <c r="AB38" s="2269"/>
      <c r="AC38" s="1379" t="s">
        <v>502</v>
      </c>
      <c r="AD38" s="2098" t="s">
        <v>438</v>
      </c>
      <c r="AE38" s="2097"/>
      <c r="AF38" s="2098" t="s">
        <v>439</v>
      </c>
      <c r="AG38" s="2103"/>
      <c r="AH38" s="2097"/>
      <c r="AI38" s="2269"/>
      <c r="AJ38" s="2272"/>
      <c r="AK38" s="2116"/>
      <c r="AQ38" s="1082">
        <v>34</v>
      </c>
    </row>
    <row r="39" spans="1:43" ht="35.65" customHeight="1">
      <c r="A39" s="1297"/>
      <c r="B39" s="1297" t="s">
        <v>136</v>
      </c>
      <c r="C39" s="1297" t="s">
        <v>137</v>
      </c>
      <c r="D39" s="1297" t="s">
        <v>138</v>
      </c>
      <c r="E39" s="1291" t="s">
        <v>440</v>
      </c>
      <c r="F39" s="1291" t="s">
        <v>441</v>
      </c>
      <c r="G39" s="1291" t="s">
        <v>442</v>
      </c>
      <c r="H39" s="1291"/>
      <c r="I39" s="1291" t="s">
        <v>503</v>
      </c>
      <c r="J39" s="1291" t="s">
        <v>445</v>
      </c>
      <c r="K39" s="1291" t="s">
        <v>504</v>
      </c>
      <c r="L39" s="1291" t="s">
        <v>421</v>
      </c>
      <c r="Q39" s="313"/>
      <c r="R39" s="313"/>
      <c r="S39" s="2264"/>
      <c r="T39" s="2212"/>
      <c r="U39" s="240"/>
      <c r="V39" s="1379" t="s">
        <v>505</v>
      </c>
      <c r="W39" s="1149" t="s">
        <v>506</v>
      </c>
      <c r="X39" s="1149" t="s">
        <v>507</v>
      </c>
      <c r="Y39" s="1382" t="s">
        <v>449</v>
      </c>
      <c r="Z39" s="2217" t="s">
        <v>450</v>
      </c>
      <c r="AA39" s="2231"/>
      <c r="AB39" s="2270"/>
      <c r="AC39" s="1379" t="s">
        <v>505</v>
      </c>
      <c r="AD39" s="1149" t="s">
        <v>506</v>
      </c>
      <c r="AE39" s="1149" t="s">
        <v>507</v>
      </c>
      <c r="AF39" s="1382" t="s">
        <v>449</v>
      </c>
      <c r="AG39" s="2217" t="s">
        <v>450</v>
      </c>
      <c r="AH39" s="2231"/>
      <c r="AI39" s="2270"/>
      <c r="AJ39" s="2273"/>
      <c r="AK39" s="211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62">
        <f ca="1">OFFSET(Z40,0,-1)+1</f>
        <v>7</v>
      </c>
      <c r="AA40" s="2262"/>
      <c r="AB40" s="1378">
        <f ca="1">OFFSET(AB40,0,-2)+1</f>
        <v>8</v>
      </c>
      <c r="AC40" s="1378">
        <f ca="1">OFFSET(AC40,0,-1)+1</f>
        <v>9</v>
      </c>
      <c r="AD40" s="1378">
        <f ca="1">OFFSET(AD40,0,-1)+1</f>
        <v>10</v>
      </c>
      <c r="AE40" s="1378">
        <f ca="1">OFFSET(AE40,0,-1)+1</f>
        <v>11</v>
      </c>
      <c r="AF40" s="1378">
        <f ca="1">OFFSET(AF40,0,-1)+1</f>
        <v>12</v>
      </c>
      <c r="AG40" s="2262">
        <f ca="1">OFFSET(AG40,0,-1)+1</f>
        <v>13</v>
      </c>
      <c r="AH40" s="2262"/>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5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52"/>
      <c r="F42" s="225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52"/>
      <c r="F43" s="2252"/>
      <c r="G43" s="2251">
        <v>1</v>
      </c>
      <c r="H43" s="1290"/>
      <c r="I43" s="1290"/>
      <c r="J43" s="1290"/>
      <c r="K43" s="1290"/>
      <c r="L43" s="1291"/>
      <c r="M43" s="1292"/>
      <c r="N43" s="1292"/>
      <c r="O43" s="1292"/>
      <c r="P43" s="291"/>
      <c r="Q43" s="289"/>
      <c r="R43" s="290"/>
      <c r="S43" s="1384" t="str">
        <f>INDEX(PT_DIFFERENTIATION_NUM_CS,MATCH(C43,PT_DIFFERENTIATION_CS_ID,0))</f>
        <v>..</v>
      </c>
      <c r="T43" s="247" t="s">
        <v>494</v>
      </c>
      <c r="U43" s="238"/>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5" t="s">
        <v>495</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510</v>
      </c>
      <c r="E44" s="2252"/>
      <c r="F44" s="2252"/>
      <c r="G44" s="2252"/>
      <c r="H44" s="2252"/>
      <c r="I44" s="2253" t="str">
        <f>S43&amp;".1"</f>
        <v>...1</v>
      </c>
      <c r="J44" s="1290"/>
      <c r="K44" s="1290"/>
      <c r="L44" s="1291"/>
      <c r="P44" s="2255">
        <v>1</v>
      </c>
      <c r="Q44" s="1377"/>
      <c r="R44" s="293"/>
      <c r="S44" s="1384" t="str">
        <f>$I44</f>
        <v>...1</v>
      </c>
      <c r="T44" s="223" t="s">
        <v>496</v>
      </c>
      <c r="U44" s="238"/>
      <c r="V44" s="2330"/>
      <c r="W44" s="2331"/>
      <c r="X44" s="2331"/>
      <c r="Y44" s="2331"/>
      <c r="Z44" s="2331"/>
      <c r="AA44" s="2331"/>
      <c r="AB44" s="2332"/>
      <c r="AC44" s="2333"/>
      <c r="AD44" s="2334"/>
      <c r="AE44" s="2334"/>
      <c r="AF44" s="2334"/>
      <c r="AG44" s="2334"/>
      <c r="AH44" s="2334"/>
      <c r="AI44" s="2334"/>
      <c r="AJ44" s="2335"/>
      <c r="AK44" s="1185" t="s">
        <v>497</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510</v>
      </c>
      <c r="E45" s="2252"/>
      <c r="F45" s="2252"/>
      <c r="G45" s="2252"/>
      <c r="H45" s="2252"/>
      <c r="I45" s="2254"/>
      <c r="J45" s="2253" t="str">
        <f>I44&amp;".1"</f>
        <v>...1.1</v>
      </c>
      <c r="K45" s="1290"/>
      <c r="L45" s="1291" t="s">
        <v>412</v>
      </c>
      <c r="P45" s="2255"/>
      <c r="Q45" s="2255">
        <v>1</v>
      </c>
      <c r="R45" s="294"/>
      <c r="S45" s="1384" t="str">
        <f>$J45</f>
        <v>...1.1</v>
      </c>
      <c r="T45" s="224" t="s">
        <v>413</v>
      </c>
      <c r="U45" s="238"/>
      <c r="V45" s="2239"/>
      <c r="W45" s="2240"/>
      <c r="X45" s="2240"/>
      <c r="Y45" s="2240"/>
      <c r="Z45" s="2240"/>
      <c r="AA45" s="2240"/>
      <c r="AB45" s="2241"/>
      <c r="AC45" s="2239"/>
      <c r="AD45" s="2240"/>
      <c r="AE45" s="2240"/>
      <c r="AF45" s="2240"/>
      <c r="AG45" s="2240"/>
      <c r="AH45" s="2240"/>
      <c r="AI45" s="2240"/>
      <c r="AJ45" s="2241"/>
      <c r="AK45" s="1234" t="s">
        <v>498</v>
      </c>
      <c r="AM45" s="437"/>
      <c r="AN45" s="437" t="str">
        <f t="shared" si="1"/>
        <v>Группа потребителей</v>
      </c>
      <c r="AO45" s="437"/>
      <c r="AP45" s="437"/>
      <c r="AQ45" s="1082">
        <v>23</v>
      </c>
    </row>
    <row r="46" spans="1:43" ht="24" customHeight="1">
      <c r="A46" s="1290" t="s">
        <v>242</v>
      </c>
      <c r="B46" s="1290" t="s">
        <v>243</v>
      </c>
      <c r="C46" s="1290" t="s">
        <v>244</v>
      </c>
      <c r="D46" s="1290" t="s">
        <v>510</v>
      </c>
      <c r="E46" s="2252"/>
      <c r="F46" s="2252"/>
      <c r="G46" s="2252"/>
      <c r="H46" s="2252"/>
      <c r="I46" s="2254"/>
      <c r="J46" s="2254"/>
      <c r="K46" s="2253" t="str">
        <f>J45&amp;".1"</f>
        <v>...1.1.1</v>
      </c>
      <c r="L46" s="1291"/>
      <c r="P46" s="2255"/>
      <c r="Q46" s="2255"/>
      <c r="R46" s="294">
        <v>1</v>
      </c>
      <c r="S46" s="1384" t="str">
        <f>$K46</f>
        <v>...1.1.1</v>
      </c>
      <c r="T46" s="1364"/>
      <c r="U46" s="238"/>
      <c r="V46" s="688"/>
      <c r="W46" s="688"/>
      <c r="X46" s="1184"/>
      <c r="Y46" s="2256"/>
      <c r="Z46" s="2126" t="s">
        <v>66</v>
      </c>
      <c r="AA46" s="2256"/>
      <c r="AB46" s="2126" t="s">
        <v>66</v>
      </c>
      <c r="AC46" s="688"/>
      <c r="AD46" s="688"/>
      <c r="AE46" s="1184"/>
      <c r="AF46" s="2256"/>
      <c r="AG46" s="2126" t="s">
        <v>66</v>
      </c>
      <c r="AH46" s="2258"/>
      <c r="AI46" s="2126" t="s">
        <v>66</v>
      </c>
      <c r="AJ46" s="1365"/>
      <c r="AK46"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510</v>
      </c>
      <c r="E47" s="2252"/>
      <c r="F47" s="2252"/>
      <c r="G47" s="2252"/>
      <c r="H47" s="2252"/>
      <c r="I47" s="2254"/>
      <c r="J47" s="2254"/>
      <c r="K47" s="2253"/>
      <c r="L47" s="1291"/>
      <c r="P47" s="2255"/>
      <c r="Q47" s="2255"/>
      <c r="R47" s="294"/>
      <c r="S47" s="1383"/>
      <c r="T47" s="238"/>
      <c r="U47" s="238"/>
      <c r="V47" s="263"/>
      <c r="W47" s="263"/>
      <c r="X47" s="266" t="str">
        <f>Y46&amp;"-"&amp;AA46</f>
        <v>-</v>
      </c>
      <c r="Y47" s="2257"/>
      <c r="Z47" s="2126"/>
      <c r="AA47" s="2257"/>
      <c r="AB47" s="2126"/>
      <c r="AC47" s="263"/>
      <c r="AD47" s="263"/>
      <c r="AE47" s="266" t="str">
        <f>AF46&amp;"-"&amp;AH46</f>
        <v>-</v>
      </c>
      <c r="AF47" s="2257"/>
      <c r="AG47" s="2126"/>
      <c r="AH47" s="2259"/>
      <c r="AI47" s="2126"/>
      <c r="AJ47" s="1366"/>
      <c r="AK47" s="2336"/>
      <c r="AM47" s="437"/>
      <c r="AN47" s="437" t="str">
        <f t="shared" si="1"/>
        <v/>
      </c>
      <c r="AO47" s="437"/>
      <c r="AP47" s="437"/>
      <c r="AQ47" s="1082">
        <v>0</v>
      </c>
    </row>
    <row r="48" spans="1:43" ht="21" customHeight="1">
      <c r="A48" s="1290" t="s">
        <v>242</v>
      </c>
      <c r="B48" s="1290" t="s">
        <v>243</v>
      </c>
      <c r="C48" s="1290" t="s">
        <v>244</v>
      </c>
      <c r="D48" s="1290" t="s">
        <v>510</v>
      </c>
      <c r="E48" s="2252"/>
      <c r="F48" s="2252"/>
      <c r="G48" s="2252"/>
      <c r="H48" s="2252"/>
      <c r="I48" s="2254"/>
      <c r="J48" s="2253"/>
      <c r="K48" s="1290"/>
      <c r="L48" s="1291"/>
      <c r="P48" s="2255"/>
      <c r="Q48" s="2255"/>
      <c r="R48" s="293"/>
      <c r="S48" s="1205"/>
      <c r="T48" s="225" t="s">
        <v>499</v>
      </c>
      <c r="U48" s="304"/>
      <c r="V48" s="304"/>
      <c r="W48" s="304"/>
      <c r="X48" s="304"/>
      <c r="Y48" s="304"/>
      <c r="Z48" s="304"/>
      <c r="AA48" s="304"/>
      <c r="AB48" s="304"/>
      <c r="AC48" s="304"/>
      <c r="AD48" s="304"/>
      <c r="AE48" s="304"/>
      <c r="AF48" s="304"/>
      <c r="AG48" s="304"/>
      <c r="AH48" s="304"/>
      <c r="AI48" s="304"/>
      <c r="AJ48" s="304"/>
      <c r="AK48" s="1185" t="s">
        <v>500</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510</v>
      </c>
      <c r="E49" s="2252"/>
      <c r="F49" s="2252"/>
      <c r="G49" s="2252"/>
      <c r="H49" s="2252"/>
      <c r="I49" s="2253"/>
      <c r="J49" s="1290"/>
      <c r="K49" s="1290"/>
      <c r="L49" s="1291"/>
      <c r="P49" s="225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510</v>
      </c>
      <c r="E50" s="2252"/>
      <c r="F50" s="2252"/>
      <c r="G50" s="2252"/>
      <c r="H50" s="2251"/>
      <c r="I50" s="1290"/>
      <c r="J50" s="1290"/>
      <c r="K50" s="1290"/>
      <c r="L50" s="1291"/>
      <c r="M50" s="1292"/>
      <c r="N50" s="1292"/>
      <c r="O50" s="474"/>
      <c r="P50" s="297"/>
      <c r="Q50" s="312"/>
      <c r="R50" s="292"/>
      <c r="S50" s="1205"/>
      <c r="T50" s="309" t="s">
        <v>501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52"/>
      <c r="F51" s="2251"/>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51"/>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51">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45"/>
      <c r="W2" s="2246"/>
      <c r="X2" s="2246"/>
      <c r="Y2" s="2246"/>
      <c r="Z2" s="2246"/>
      <c r="AA2" s="2246"/>
      <c r="AB2" s="2247"/>
      <c r="AC2" s="2245" t="e">
        <f>INDEX(PT_DIFFERENTIATION_NTAR,MATCH(A2,PT_DIFFERENTIATION_NTAR_ID,0))</f>
        <v>#N/A</v>
      </c>
      <c r="AD2" s="2246"/>
      <c r="AE2" s="2246"/>
      <c r="AF2" s="2246"/>
      <c r="AG2" s="2246"/>
      <c r="AH2" s="2246"/>
      <c r="AI2" s="2246"/>
      <c r="AJ2" s="224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52"/>
      <c r="F3" s="2251">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45"/>
      <c r="W3" s="2246"/>
      <c r="X3" s="2246"/>
      <c r="Y3" s="2246"/>
      <c r="Z3" s="2246"/>
      <c r="AA3" s="2246"/>
      <c r="AB3" s="2247"/>
      <c r="AC3" s="2245" t="e">
        <f>INDEX(PT_DIFFERENTIATION_TER,MATCH(B3,PT_DIFFERENTIATION_TER_ID,0))</f>
        <v>#N/A</v>
      </c>
      <c r="AD3" s="2246"/>
      <c r="AE3" s="2246"/>
      <c r="AF3" s="2246"/>
      <c r="AG3" s="2246"/>
      <c r="AH3" s="2246"/>
      <c r="AI3" s="2246"/>
      <c r="AJ3" s="2247"/>
      <c r="AK3" s="1185" t="s">
        <v>404</v>
      </c>
      <c r="AM3" s="437"/>
      <c r="AN3" s="437" t="str">
        <f t="shared" si="0"/>
        <v>Территория действия тарифа</v>
      </c>
      <c r="AO3" s="437"/>
      <c r="AP3" s="437"/>
      <c r="AQ3" s="1082">
        <v>0</v>
      </c>
    </row>
    <row r="4" spans="1:43" ht="23.25" hidden="1" customHeight="1">
      <c r="A4" s="1290"/>
      <c r="B4" s="1290"/>
      <c r="C4" s="1290"/>
      <c r="D4" s="1290"/>
      <c r="E4" s="2252"/>
      <c r="F4" s="2252"/>
      <c r="G4" s="2251">
        <v>1</v>
      </c>
      <c r="H4" s="1290"/>
      <c r="I4" s="1290"/>
      <c r="J4" s="1290"/>
      <c r="K4" s="1290"/>
      <c r="L4" s="1291"/>
      <c r="M4" s="1292"/>
      <c r="N4" s="1292"/>
      <c r="O4" s="1292"/>
      <c r="P4" s="291"/>
      <c r="Q4" s="289"/>
      <c r="R4" s="290"/>
      <c r="S4" s="1384" t="e">
        <f>INDEX(PT_DIFFERENTIATION_NUM_CS,MATCH(C4,PT_DIFFERENTIATION_CS_ID,0))</f>
        <v>#N/A</v>
      </c>
      <c r="T4" s="247" t="s">
        <v>494</v>
      </c>
      <c r="U4" s="238"/>
      <c r="V4" s="2245"/>
      <c r="W4" s="2246"/>
      <c r="X4" s="2246"/>
      <c r="Y4" s="2246"/>
      <c r="Z4" s="2246"/>
      <c r="AA4" s="2246"/>
      <c r="AB4" s="2247"/>
      <c r="AC4" s="2245" t="e">
        <f>INDEX(PT_DIFFERENTIATION_CS,MATCH(C4,PT_DIFFERENTIATION_CS_ID,0))</f>
        <v>#N/A</v>
      </c>
      <c r="AD4" s="2246"/>
      <c r="AE4" s="2246"/>
      <c r="AF4" s="2246"/>
      <c r="AG4" s="2246"/>
      <c r="AH4" s="2246"/>
      <c r="AI4" s="2246"/>
      <c r="AJ4" s="2247"/>
      <c r="AK4" s="1185" t="s">
        <v>495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52"/>
      <c r="F5" s="2252"/>
      <c r="G5" s="2252"/>
      <c r="H5" s="2252"/>
      <c r="I5" s="2253" t="e">
        <f>S4&amp;".1"</f>
        <v>#N/A</v>
      </c>
      <c r="J5" s="1290"/>
      <c r="K5" s="1290"/>
      <c r="L5" s="1291"/>
      <c r="P5" s="2255">
        <v>1</v>
      </c>
      <c r="Q5" s="1377"/>
      <c r="R5" s="293"/>
      <c r="S5" s="1384" t="e">
        <f>$I5</f>
        <v>#N/A</v>
      </c>
      <c r="T5" s="223" t="s">
        <v>496</v>
      </c>
      <c r="U5" s="238"/>
      <c r="V5" s="2330"/>
      <c r="W5" s="2331"/>
      <c r="X5" s="2331"/>
      <c r="Y5" s="2331"/>
      <c r="Z5" s="2331"/>
      <c r="AA5" s="2331"/>
      <c r="AB5" s="2332"/>
      <c r="AC5" s="2333"/>
      <c r="AD5" s="2334"/>
      <c r="AE5" s="2334"/>
      <c r="AF5" s="2334"/>
      <c r="AG5" s="2334"/>
      <c r="AH5" s="2334"/>
      <c r="AI5" s="2334"/>
      <c r="AJ5" s="2335"/>
      <c r="AK5" s="1185" t="s">
        <v>497</v>
      </c>
      <c r="AM5" s="437"/>
      <c r="AN5" s="437" t="str">
        <f t="shared" si="0"/>
        <v>Наименование признака дифференциации</v>
      </c>
      <c r="AO5" s="437"/>
      <c r="AP5" s="437"/>
      <c r="AQ5" s="1082">
        <v>0</v>
      </c>
    </row>
    <row r="6" spans="1:43" ht="23.25" hidden="1" customHeight="1">
      <c r="A6" s="1290"/>
      <c r="B6" s="1290"/>
      <c r="C6" s="1290"/>
      <c r="D6" s="1290"/>
      <c r="E6" s="2252"/>
      <c r="F6" s="2252"/>
      <c r="G6" s="2252"/>
      <c r="H6" s="2252"/>
      <c r="I6" s="2254"/>
      <c r="J6" s="2253" t="e">
        <f>I5&amp;".1"</f>
        <v>#N/A</v>
      </c>
      <c r="K6" s="1290"/>
      <c r="L6" s="1291" t="s">
        <v>412</v>
      </c>
      <c r="P6" s="2255"/>
      <c r="Q6" s="2255">
        <v>1</v>
      </c>
      <c r="R6" s="294"/>
      <c r="S6" s="1384" t="e">
        <f>$J6</f>
        <v>#N/A</v>
      </c>
      <c r="T6" s="224" t="s">
        <v>413</v>
      </c>
      <c r="U6" s="238"/>
      <c r="V6" s="2239"/>
      <c r="W6" s="2240"/>
      <c r="X6" s="2240"/>
      <c r="Y6" s="2240"/>
      <c r="Z6" s="2240"/>
      <c r="AA6" s="2240"/>
      <c r="AB6" s="2241"/>
      <c r="AC6" s="2239"/>
      <c r="AD6" s="2240"/>
      <c r="AE6" s="2240"/>
      <c r="AF6" s="2240"/>
      <c r="AG6" s="2240"/>
      <c r="AH6" s="2240"/>
      <c r="AI6" s="2240"/>
      <c r="AJ6" s="2241"/>
      <c r="AK6" s="1234" t="s">
        <v>498</v>
      </c>
      <c r="AM6" s="437"/>
      <c r="AN6" s="437" t="str">
        <f t="shared" si="0"/>
        <v>Группа потребителей</v>
      </c>
      <c r="AO6" s="437"/>
      <c r="AP6" s="437"/>
      <c r="AQ6" s="1082">
        <v>0</v>
      </c>
    </row>
    <row r="7" spans="1:43" ht="23.25" hidden="1" customHeight="1">
      <c r="A7" s="1290"/>
      <c r="B7" s="1290"/>
      <c r="C7" s="1290"/>
      <c r="D7" s="1290"/>
      <c r="E7" s="2252"/>
      <c r="F7" s="2252"/>
      <c r="G7" s="2252"/>
      <c r="H7" s="2252"/>
      <c r="I7" s="2254"/>
      <c r="J7" s="2254"/>
      <c r="K7" s="2253" t="e">
        <f>J6&amp;".1"</f>
        <v>#N/A</v>
      </c>
      <c r="L7" s="1291"/>
      <c r="P7" s="2255"/>
      <c r="Q7" s="2255"/>
      <c r="R7" s="294">
        <v>1</v>
      </c>
      <c r="S7" s="1384" t="e">
        <f>$K7</f>
        <v>#N/A</v>
      </c>
      <c r="T7" s="1364"/>
      <c r="U7" s="238"/>
      <c r="V7" s="688"/>
      <c r="W7" s="688"/>
      <c r="X7" s="1184"/>
      <c r="Y7" s="2256"/>
      <c r="Z7" s="2126" t="s">
        <v>66</v>
      </c>
      <c r="AA7" s="2256"/>
      <c r="AB7" s="2126" t="s">
        <v>66</v>
      </c>
      <c r="AC7" s="688"/>
      <c r="AD7" s="688"/>
      <c r="AE7" s="1184"/>
      <c r="AF7" s="2256"/>
      <c r="AG7" s="2126" t="s">
        <v>66</v>
      </c>
      <c r="AH7" s="2258"/>
      <c r="AI7" s="2126" t="s">
        <v>66</v>
      </c>
      <c r="AJ7" s="1365"/>
      <c r="AK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52"/>
      <c r="F8" s="2252"/>
      <c r="G8" s="2252"/>
      <c r="H8" s="2252"/>
      <c r="I8" s="2254"/>
      <c r="J8" s="2254"/>
      <c r="K8" s="2253"/>
      <c r="L8" s="1291"/>
      <c r="P8" s="2255"/>
      <c r="Q8" s="2255"/>
      <c r="R8" s="294"/>
      <c r="S8" s="1383"/>
      <c r="T8" s="238"/>
      <c r="U8" s="238"/>
      <c r="V8" s="263"/>
      <c r="W8" s="263"/>
      <c r="X8" s="266" t="str">
        <f>Y7&amp;"-"&amp;AA7</f>
        <v>-</v>
      </c>
      <c r="Y8" s="2257"/>
      <c r="Z8" s="2126"/>
      <c r="AA8" s="2257"/>
      <c r="AB8" s="2126"/>
      <c r="AC8" s="263"/>
      <c r="AD8" s="263"/>
      <c r="AE8" s="266" t="str">
        <f>AF7&amp;"-"&amp;AH7</f>
        <v>-</v>
      </c>
      <c r="AF8" s="2257"/>
      <c r="AG8" s="2126"/>
      <c r="AH8" s="2259"/>
      <c r="AI8" s="2126"/>
      <c r="AJ8" s="1366"/>
      <c r="AK8" s="2336"/>
      <c r="AM8" s="437"/>
      <c r="AN8" s="437" t="str">
        <f t="shared" si="0"/>
        <v/>
      </c>
      <c r="AO8" s="437"/>
      <c r="AP8" s="437"/>
      <c r="AQ8" s="1082">
        <v>0</v>
      </c>
    </row>
    <row r="9" spans="1:43" ht="21" hidden="1" customHeight="1">
      <c r="A9" s="1290"/>
      <c r="B9" s="1290"/>
      <c r="C9" s="1290"/>
      <c r="D9" s="1290"/>
      <c r="E9" s="2252"/>
      <c r="F9" s="2252"/>
      <c r="G9" s="2252"/>
      <c r="H9" s="2252"/>
      <c r="I9" s="2254"/>
      <c r="J9" s="2253"/>
      <c r="K9" s="1290"/>
      <c r="L9" s="1291"/>
      <c r="P9" s="2255"/>
      <c r="Q9" s="2255"/>
      <c r="R9" s="293"/>
      <c r="S9" s="1205"/>
      <c r="T9" s="225" t="s">
        <v>499</v>
      </c>
      <c r="U9" s="304"/>
      <c r="V9" s="304"/>
      <c r="W9" s="304"/>
      <c r="X9" s="304"/>
      <c r="Y9" s="304"/>
      <c r="Z9" s="304"/>
      <c r="AA9" s="304"/>
      <c r="AB9" s="304"/>
      <c r="AC9" s="304"/>
      <c r="AD9" s="304"/>
      <c r="AE9" s="304"/>
      <c r="AF9" s="304"/>
      <c r="AG9" s="304"/>
      <c r="AH9" s="304"/>
      <c r="AI9" s="304"/>
      <c r="AJ9" s="304"/>
      <c r="AK9" s="1185" t="s">
        <v>500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52"/>
      <c r="F10" s="2252"/>
      <c r="G10" s="2252"/>
      <c r="H10" s="2252"/>
      <c r="I10" s="2253"/>
      <c r="J10" s="1290"/>
      <c r="K10" s="1290"/>
      <c r="L10" s="1291"/>
      <c r="P10" s="2255"/>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52"/>
      <c r="F12" s="2251"/>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49"/>
      <c r="AG15" s="2248" t="s">
        <v>66</v>
      </c>
      <c r="AH15" s="2249"/>
      <c r="AI15" s="2248" t="s">
        <v>66</v>
      </c>
      <c r="AQ15" s="1082">
        <v>0</v>
      </c>
    </row>
    <row r="16" spans="1:43" ht="14.25" hidden="1" customHeight="1">
      <c r="AC16" s="1287"/>
      <c r="AD16" s="1287"/>
      <c r="AE16" s="266" t="str">
        <f>AF15&amp;"-"&amp;AH15</f>
        <v>-</v>
      </c>
      <c r="AF16" s="2248"/>
      <c r="AG16" s="2248"/>
      <c r="AH16" s="2248"/>
      <c r="AI16" s="2248"/>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70"/>
      <c r="AQ24" s="1082">
        <v>14</v>
      </c>
    </row>
    <row r="25" spans="1:43"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64"/>
      <c r="AC27" s="2244" t="str">
        <f>IF(TITLE_NAME_OR_PR_CHANGE="",IF(TITLE_NAME_OR_PR="","",TITLE_NAME_OR_PR),TITLE_NAME_OR_PR_CHANGE)</f>
        <v/>
      </c>
      <c r="AD27" s="2244"/>
      <c r="AE27" s="2244"/>
      <c r="AF27" s="2244"/>
      <c r="AG27" s="2244"/>
      <c r="AH27" s="224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64"/>
      <c r="AC28" s="2243">
        <f>IF(TITLE_DATE_PR_CHANGE="",IF(TITLE_DATE_PR="","",TITLE_DATE_PR),TITLE_DATE_PR_CHANGE)</f>
        <v>45777</v>
      </c>
      <c r="AD28" s="2243"/>
      <c r="AE28" s="2243"/>
      <c r="AF28" s="2243"/>
      <c r="AG28" s="2243"/>
      <c r="AH28" s="224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64"/>
      <c r="AC29" s="2244" t="str">
        <f>IF(TITLE_NUMBER_PR_CHANGE="",IF(TITLE_NUMBER_PR="","",TITLE_NUMBER_PR),TITLE_NUMBER_PR_CHANGE)</f>
        <v>466</v>
      </c>
      <c r="AD29" s="2244"/>
      <c r="AE29" s="2244"/>
      <c r="AF29" s="2244"/>
      <c r="AG29" s="2244"/>
      <c r="AH29" s="224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64"/>
      <c r="AC30" s="2244" t="str">
        <f>IF(TITLE_IST_PUB_CHANGE="",IF(TITLE_IST_PUB="","",TITLE_IST_PUB),TITLE_IST_PUB_CHANGE)</f>
        <v/>
      </c>
      <c r="AD30" s="2244"/>
      <c r="AE30" s="2244"/>
      <c r="AF30" s="2244"/>
      <c r="AG30" s="2244"/>
      <c r="AH30" s="224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64"/>
      <c r="AC32" s="2243">
        <f>IF(TITLE_DATE_PR_CHANGE="",IF(TITLE_DATE_PR="","",TITLE_DATE_PR),TITLE_DATE_PR_CHANGE)</f>
        <v>45777</v>
      </c>
      <c r="AD32" s="2243"/>
      <c r="AE32" s="2243"/>
      <c r="AF32" s="2243"/>
      <c r="AG32" s="2243"/>
      <c r="AH32" s="224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64"/>
      <c r="AC33" s="2244" t="str">
        <f>IF(TITLE_NUMBER_PR_CHANGE="",IF(TITLE_NUMBER_PR="","",TITLE_NUMBER_PR),TITLE_NUMBER_PR_CHANGE)</f>
        <v>466</v>
      </c>
      <c r="AD33" s="2244"/>
      <c r="AE33" s="2244"/>
      <c r="AF33" s="2244"/>
      <c r="AG33" s="2244"/>
      <c r="AH33" s="224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63"/>
      <c r="W35" s="2263"/>
      <c r="X35" s="2263"/>
      <c r="Y35" s="2263"/>
      <c r="Z35" s="2263"/>
      <c r="AA35" s="2263"/>
      <c r="AB35" s="2263"/>
      <c r="AC35" s="2263"/>
      <c r="AD35" s="2263"/>
      <c r="AE35" s="2263"/>
      <c r="AF35" s="2263"/>
      <c r="AG35" s="2263"/>
      <c r="AH35" s="2263"/>
      <c r="AI35" s="2263"/>
      <c r="AQ35" s="1082">
        <v>14</v>
      </c>
    </row>
    <row r="36" spans="1:43"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t="s">
        <v>307</v>
      </c>
      <c r="AQ36" s="1082">
        <v>14</v>
      </c>
    </row>
    <row r="37" spans="1:43" ht="14.65" customHeight="1">
      <c r="Q37" s="313"/>
      <c r="R37" s="313"/>
      <c r="S37" s="2264" t="s">
        <v>88</v>
      </c>
      <c r="T37" s="2212" t="s">
        <v>431</v>
      </c>
      <c r="U37" s="239"/>
      <c r="V37" s="2265" t="s">
        <v>432</v>
      </c>
      <c r="W37" s="2266"/>
      <c r="X37" s="2266"/>
      <c r="Y37" s="2266"/>
      <c r="Z37" s="2266"/>
      <c r="AA37" s="2267"/>
      <c r="AB37" s="2268" t="s">
        <v>433</v>
      </c>
      <c r="AC37" s="2265" t="s">
        <v>432</v>
      </c>
      <c r="AD37" s="2266"/>
      <c r="AE37" s="2266"/>
      <c r="AF37" s="2266"/>
      <c r="AG37" s="2266"/>
      <c r="AH37" s="2267"/>
      <c r="AI37" s="2268" t="s">
        <v>434</v>
      </c>
      <c r="AJ37" s="2271" t="s">
        <v>435</v>
      </c>
      <c r="AK37" s="2116"/>
      <c r="AQ37" s="1082">
        <v>14</v>
      </c>
    </row>
    <row r="38" spans="1:43" ht="35.65" customHeight="1">
      <c r="Q38" s="313"/>
      <c r="R38" s="313"/>
      <c r="S38" s="2264"/>
      <c r="T38" s="2212"/>
      <c r="U38" s="961"/>
      <c r="V38" s="1379" t="s">
        <v>502</v>
      </c>
      <c r="W38" s="2098" t="s">
        <v>438</v>
      </c>
      <c r="X38" s="2097"/>
      <c r="Y38" s="2098" t="s">
        <v>439</v>
      </c>
      <c r="Z38" s="2103"/>
      <c r="AA38" s="2097"/>
      <c r="AB38" s="2269"/>
      <c r="AC38" s="1379" t="s">
        <v>502</v>
      </c>
      <c r="AD38" s="2098" t="s">
        <v>438</v>
      </c>
      <c r="AE38" s="2097"/>
      <c r="AF38" s="2098" t="s">
        <v>439</v>
      </c>
      <c r="AG38" s="2103"/>
      <c r="AH38" s="2097"/>
      <c r="AI38" s="2269"/>
      <c r="AJ38" s="2272"/>
      <c r="AK38" s="2116"/>
      <c r="AQ38" s="1082">
        <v>34</v>
      </c>
    </row>
    <row r="39" spans="1:43" ht="35.65" customHeight="1">
      <c r="A39" s="1297"/>
      <c r="B39" s="1297" t="s">
        <v>136</v>
      </c>
      <c r="C39" s="1297" t="s">
        <v>137</v>
      </c>
      <c r="D39" s="1297" t="s">
        <v>138</v>
      </c>
      <c r="E39" s="1291" t="s">
        <v>440</v>
      </c>
      <c r="F39" s="1291" t="s">
        <v>441</v>
      </c>
      <c r="G39" s="1291" t="s">
        <v>442</v>
      </c>
      <c r="H39" s="1291"/>
      <c r="I39" s="1291" t="s">
        <v>503</v>
      </c>
      <c r="J39" s="1291" t="s">
        <v>445</v>
      </c>
      <c r="K39" s="1291" t="s">
        <v>504</v>
      </c>
      <c r="L39" s="1291" t="s">
        <v>421</v>
      </c>
      <c r="Q39" s="313"/>
      <c r="R39" s="313"/>
      <c r="S39" s="2264"/>
      <c r="T39" s="2212"/>
      <c r="U39" s="240"/>
      <c r="V39" s="1379" t="s">
        <v>505</v>
      </c>
      <c r="W39" s="1149" t="s">
        <v>506</v>
      </c>
      <c r="X39" s="1149" t="s">
        <v>507</v>
      </c>
      <c r="Y39" s="1382" t="s">
        <v>449</v>
      </c>
      <c r="Z39" s="2217" t="s">
        <v>450</v>
      </c>
      <c r="AA39" s="2231"/>
      <c r="AB39" s="2270"/>
      <c r="AC39" s="1379" t="s">
        <v>505</v>
      </c>
      <c r="AD39" s="1149" t="s">
        <v>506</v>
      </c>
      <c r="AE39" s="1149" t="s">
        <v>507</v>
      </c>
      <c r="AF39" s="1382" t="s">
        <v>449</v>
      </c>
      <c r="AG39" s="2217" t="s">
        <v>450</v>
      </c>
      <c r="AH39" s="2231"/>
      <c r="AI39" s="2270"/>
      <c r="AJ39" s="2273"/>
      <c r="AK39" s="2116"/>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62">
        <f ca="1">OFFSET(Z40,0,-1)+1</f>
        <v>7</v>
      </c>
      <c r="AA40" s="2262"/>
      <c r="AB40" s="1378">
        <f ca="1">OFFSET(AB40,0,-2)+1</f>
        <v>8</v>
      </c>
      <c r="AC40" s="1378">
        <f ca="1">OFFSET(AC40,0,-1)+1</f>
        <v>9</v>
      </c>
      <c r="AD40" s="1378">
        <f ca="1">OFFSET(AD40,0,-1)+1</f>
        <v>10</v>
      </c>
      <c r="AE40" s="1378">
        <f ca="1">OFFSET(AE40,0,-1)+1</f>
        <v>11</v>
      </c>
      <c r="AF40" s="1378">
        <f ca="1">OFFSET(AF40,0,-1)+1</f>
        <v>12</v>
      </c>
      <c r="AG40" s="2262">
        <f ca="1">OFFSET(AG40,0,-1)+1</f>
        <v>13</v>
      </c>
      <c r="AH40" s="2262"/>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51">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52"/>
      <c r="F42" s="2251">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52"/>
      <c r="F43" s="2252"/>
      <c r="G43" s="2251">
        <v>1</v>
      </c>
      <c r="H43" s="1290"/>
      <c r="I43" s="1290"/>
      <c r="J43" s="1290"/>
      <c r="K43" s="1290"/>
      <c r="L43" s="1291"/>
      <c r="M43" s="1292"/>
      <c r="N43" s="1292"/>
      <c r="O43" s="1292"/>
      <c r="P43" s="291"/>
      <c r="Q43" s="289"/>
      <c r="R43" s="290"/>
      <c r="S43" s="1384" t="str">
        <f>INDEX(PT_DIFFERENTIATION_NUM_CS,MATCH(C43,PT_DIFFERENTIATION_CS_ID,0))</f>
        <v>..</v>
      </c>
      <c r="T43" s="247" t="s">
        <v>494</v>
      </c>
      <c r="U43" s="238"/>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5" t="s">
        <v>495</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511</v>
      </c>
      <c r="E44" s="2252"/>
      <c r="F44" s="2252"/>
      <c r="G44" s="2252"/>
      <c r="H44" s="2252"/>
      <c r="I44" s="2253" t="str">
        <f>S43&amp;".1"</f>
        <v>...1</v>
      </c>
      <c r="J44" s="1290"/>
      <c r="K44" s="1290"/>
      <c r="L44" s="1291"/>
      <c r="P44" s="2255">
        <v>1</v>
      </c>
      <c r="Q44" s="1377"/>
      <c r="R44" s="293"/>
      <c r="S44" s="1384" t="str">
        <f>$I44</f>
        <v>...1</v>
      </c>
      <c r="T44" s="223" t="s">
        <v>496</v>
      </c>
      <c r="U44" s="238"/>
      <c r="V44" s="2330"/>
      <c r="W44" s="2331"/>
      <c r="X44" s="2331"/>
      <c r="Y44" s="2331"/>
      <c r="Z44" s="2331"/>
      <c r="AA44" s="2331"/>
      <c r="AB44" s="2332"/>
      <c r="AC44" s="2333"/>
      <c r="AD44" s="2334"/>
      <c r="AE44" s="2334"/>
      <c r="AF44" s="2334"/>
      <c r="AG44" s="2334"/>
      <c r="AH44" s="2334"/>
      <c r="AI44" s="2334"/>
      <c r="AJ44" s="2335"/>
      <c r="AK44" s="1185" t="s">
        <v>497</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511</v>
      </c>
      <c r="E45" s="2252"/>
      <c r="F45" s="2252"/>
      <c r="G45" s="2252"/>
      <c r="H45" s="2252"/>
      <c r="I45" s="2254"/>
      <c r="J45" s="2253" t="str">
        <f>I44&amp;".1"</f>
        <v>...1.1</v>
      </c>
      <c r="K45" s="1290"/>
      <c r="L45" s="1291" t="s">
        <v>412</v>
      </c>
      <c r="P45" s="2255"/>
      <c r="Q45" s="2255">
        <v>1</v>
      </c>
      <c r="R45" s="294"/>
      <c r="S45" s="1384" t="str">
        <f>$J45</f>
        <v>...1.1</v>
      </c>
      <c r="T45" s="224" t="s">
        <v>413</v>
      </c>
      <c r="U45" s="238"/>
      <c r="V45" s="2239"/>
      <c r="W45" s="2240"/>
      <c r="X45" s="2240"/>
      <c r="Y45" s="2240"/>
      <c r="Z45" s="2240"/>
      <c r="AA45" s="2240"/>
      <c r="AB45" s="2241"/>
      <c r="AC45" s="2239"/>
      <c r="AD45" s="2240"/>
      <c r="AE45" s="2240"/>
      <c r="AF45" s="2240"/>
      <c r="AG45" s="2240"/>
      <c r="AH45" s="2240"/>
      <c r="AI45" s="2240"/>
      <c r="AJ45" s="2241"/>
      <c r="AK45" s="1234" t="s">
        <v>498</v>
      </c>
      <c r="AM45" s="437"/>
      <c r="AN45" s="437" t="str">
        <f t="shared" si="1"/>
        <v>Группа потребителей</v>
      </c>
      <c r="AO45" s="437"/>
      <c r="AP45" s="437"/>
      <c r="AQ45" s="1082">
        <v>23</v>
      </c>
    </row>
    <row r="46" spans="1:43" ht="24" customHeight="1">
      <c r="A46" s="1290" t="s">
        <v>247</v>
      </c>
      <c r="B46" s="1290" t="s">
        <v>248</v>
      </c>
      <c r="C46" s="1290" t="s">
        <v>249</v>
      </c>
      <c r="D46" s="1290" t="s">
        <v>511</v>
      </c>
      <c r="E46" s="2252"/>
      <c r="F46" s="2252"/>
      <c r="G46" s="2252"/>
      <c r="H46" s="2252"/>
      <c r="I46" s="2254"/>
      <c r="J46" s="2254"/>
      <c r="K46" s="2253" t="str">
        <f>J45&amp;".1"</f>
        <v>...1.1.1</v>
      </c>
      <c r="L46" s="1291"/>
      <c r="P46" s="2255"/>
      <c r="Q46" s="2255"/>
      <c r="R46" s="294">
        <v>1</v>
      </c>
      <c r="S46" s="1384" t="str">
        <f>$K46</f>
        <v>...1.1.1</v>
      </c>
      <c r="T46" s="1364"/>
      <c r="U46" s="238"/>
      <c r="V46" s="688"/>
      <c r="W46" s="688"/>
      <c r="X46" s="1184"/>
      <c r="Y46" s="2256"/>
      <c r="Z46" s="2126" t="s">
        <v>66</v>
      </c>
      <c r="AA46" s="2256"/>
      <c r="AB46" s="2126" t="s">
        <v>66</v>
      </c>
      <c r="AC46" s="688"/>
      <c r="AD46" s="688"/>
      <c r="AE46" s="1184"/>
      <c r="AF46" s="2256"/>
      <c r="AG46" s="2126" t="s">
        <v>66</v>
      </c>
      <c r="AH46" s="2258"/>
      <c r="AI46" s="2126" t="s">
        <v>66</v>
      </c>
      <c r="AJ46" s="1365"/>
      <c r="AK46"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511</v>
      </c>
      <c r="E47" s="2252"/>
      <c r="F47" s="2252"/>
      <c r="G47" s="2252"/>
      <c r="H47" s="2252"/>
      <c r="I47" s="2254"/>
      <c r="J47" s="2254"/>
      <c r="K47" s="2253"/>
      <c r="L47" s="1291"/>
      <c r="P47" s="2255"/>
      <c r="Q47" s="2255"/>
      <c r="R47" s="294"/>
      <c r="S47" s="1383"/>
      <c r="T47" s="238"/>
      <c r="U47" s="238"/>
      <c r="V47" s="263"/>
      <c r="W47" s="263"/>
      <c r="X47" s="266" t="str">
        <f>Y46&amp;"-"&amp;AA46</f>
        <v>-</v>
      </c>
      <c r="Y47" s="2257"/>
      <c r="Z47" s="2126"/>
      <c r="AA47" s="2257"/>
      <c r="AB47" s="2126"/>
      <c r="AC47" s="263"/>
      <c r="AD47" s="263"/>
      <c r="AE47" s="266" t="str">
        <f>AF46&amp;"-"&amp;AH46</f>
        <v>-</v>
      </c>
      <c r="AF47" s="2257"/>
      <c r="AG47" s="2126"/>
      <c r="AH47" s="2259"/>
      <c r="AI47" s="2126"/>
      <c r="AJ47" s="1366"/>
      <c r="AK47" s="2336"/>
      <c r="AM47" s="437"/>
      <c r="AN47" s="437" t="str">
        <f t="shared" si="1"/>
        <v/>
      </c>
      <c r="AO47" s="437"/>
      <c r="AP47" s="437"/>
      <c r="AQ47" s="1082">
        <v>0</v>
      </c>
    </row>
    <row r="48" spans="1:43" ht="21" customHeight="1">
      <c r="A48" s="1290" t="s">
        <v>247</v>
      </c>
      <c r="B48" s="1290" t="s">
        <v>248</v>
      </c>
      <c r="C48" s="1290" t="s">
        <v>249</v>
      </c>
      <c r="D48" s="1290" t="s">
        <v>511</v>
      </c>
      <c r="E48" s="2252"/>
      <c r="F48" s="2252"/>
      <c r="G48" s="2252"/>
      <c r="H48" s="2252"/>
      <c r="I48" s="2254"/>
      <c r="J48" s="2253"/>
      <c r="K48" s="1290"/>
      <c r="L48" s="1291"/>
      <c r="P48" s="2255"/>
      <c r="Q48" s="2255"/>
      <c r="R48" s="293"/>
      <c r="S48" s="1205"/>
      <c r="T48" s="225" t="s">
        <v>499</v>
      </c>
      <c r="U48" s="304"/>
      <c r="V48" s="304"/>
      <c r="W48" s="304"/>
      <c r="X48" s="304"/>
      <c r="Y48" s="304"/>
      <c r="Z48" s="304"/>
      <c r="AA48" s="304"/>
      <c r="AB48" s="304"/>
      <c r="AC48" s="304"/>
      <c r="AD48" s="304"/>
      <c r="AE48" s="304"/>
      <c r="AF48" s="304"/>
      <c r="AG48" s="304"/>
      <c r="AH48" s="304"/>
      <c r="AI48" s="304"/>
      <c r="AJ48" s="304"/>
      <c r="AK48" s="1185" t="s">
        <v>500</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511</v>
      </c>
      <c r="E49" s="2252"/>
      <c r="F49" s="2252"/>
      <c r="G49" s="2252"/>
      <c r="H49" s="2252"/>
      <c r="I49" s="2253"/>
      <c r="J49" s="1290"/>
      <c r="K49" s="1290"/>
      <c r="L49" s="1291"/>
      <c r="P49" s="2255"/>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511</v>
      </c>
      <c r="E50" s="2252"/>
      <c r="F50" s="2252"/>
      <c r="G50" s="2252"/>
      <c r="H50" s="2251"/>
      <c r="I50" s="1290"/>
      <c r="J50" s="1290"/>
      <c r="K50" s="1290"/>
      <c r="L50" s="1291"/>
      <c r="M50" s="1292"/>
      <c r="N50" s="1292"/>
      <c r="O50" s="474"/>
      <c r="P50" s="297"/>
      <c r="Q50" s="312"/>
      <c r="R50" s="292"/>
      <c r="S50" s="1205"/>
      <c r="T50" s="309" t="s">
        <v>501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52"/>
      <c r="F51" s="2251"/>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51"/>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09" hidden="1" customWidth="1"/>
    <col min="16" max="16" width="3" style="1702" customWidth="1"/>
    <col min="17" max="17" width="3" style="1298" customWidth="1"/>
    <col min="18" max="18" width="3" style="282"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86">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46"/>
      <c r="W2" s="2246"/>
      <c r="X2" s="2246"/>
      <c r="Y2" s="2246"/>
      <c r="Z2" s="2246"/>
      <c r="AA2" s="2247"/>
      <c r="AB2" s="1874"/>
      <c r="AC2" s="2246" t="e">
        <f>INDEX(PT_DIFFERENTIATION_NTAR,MATCH(A2,PT_DIFFERENTIATION_NTAR_ID,0))</f>
        <v>#N/A</v>
      </c>
      <c r="AD2" s="2246"/>
      <c r="AE2" s="2246"/>
      <c r="AF2" s="2246"/>
      <c r="AG2" s="2246"/>
      <c r="AH2" s="2246"/>
      <c r="AI2" s="2246"/>
      <c r="AJ2" s="2247"/>
      <c r="AK2" s="1185" t="s">
        <v>402</v>
      </c>
      <c r="AM2" s="1551"/>
      <c r="AN2" s="1551" t="str">
        <f t="shared" ref="AN2:AN14" si="0">IF(T2="","",T2)</f>
        <v>Наименование тарифа</v>
      </c>
      <c r="AO2" s="1551"/>
      <c r="AP2" s="1551"/>
      <c r="AQ2" s="1558">
        <v>0</v>
      </c>
    </row>
    <row r="3" spans="1:43" ht="21" hidden="1" customHeight="1">
      <c r="A3" s="1194"/>
      <c r="B3" s="1194"/>
      <c r="C3" s="1194"/>
      <c r="D3" s="1194"/>
      <c r="E3" s="2287"/>
      <c r="F3" s="2286">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46"/>
      <c r="W3" s="2246"/>
      <c r="X3" s="2246"/>
      <c r="Y3" s="2246"/>
      <c r="Z3" s="2246"/>
      <c r="AA3" s="2247"/>
      <c r="AB3" s="1874"/>
      <c r="AC3" s="2246" t="e">
        <f>INDEX(PT_DIFFERENTIATION_TER,MATCH(B3,PT_DIFFERENTIATION_TER_ID,0))</f>
        <v>#N/A</v>
      </c>
      <c r="AD3" s="2246"/>
      <c r="AE3" s="2246"/>
      <c r="AF3" s="2246"/>
      <c r="AG3" s="2246"/>
      <c r="AH3" s="2246"/>
      <c r="AI3" s="2246"/>
      <c r="AJ3" s="2247"/>
      <c r="AK3" s="1185" t="s">
        <v>404</v>
      </c>
      <c r="AM3" s="1551"/>
      <c r="AN3" s="1551" t="str">
        <f t="shared" si="0"/>
        <v>Территория действия тарифа</v>
      </c>
      <c r="AO3" s="1551"/>
      <c r="AP3" s="1551"/>
      <c r="AQ3" s="1558">
        <v>0</v>
      </c>
    </row>
    <row r="4" spans="1:43" ht="22.5" hidden="1" customHeight="1">
      <c r="A4" s="1194"/>
      <c r="B4" s="1194"/>
      <c r="C4" s="1194"/>
      <c r="D4" s="1194"/>
      <c r="E4" s="2287"/>
      <c r="F4" s="2287"/>
      <c r="G4" s="2286">
        <v>1</v>
      </c>
      <c r="H4" s="1194"/>
      <c r="I4" s="1194"/>
      <c r="J4" s="1194"/>
      <c r="K4" s="1194"/>
      <c r="L4" s="1237"/>
      <c r="M4" s="1537"/>
      <c r="N4" s="1537"/>
      <c r="O4" s="1537"/>
      <c r="P4" s="1339"/>
      <c r="Q4" s="1338"/>
      <c r="R4" s="290"/>
      <c r="S4" s="1880" t="e">
        <f>INDEX(PT_DIFFERENTIATION_NUM_CS,MATCH(C4,PT_DIFFERENTIATION_CS_ID,0))</f>
        <v>#N/A</v>
      </c>
      <c r="T4" s="247" t="s">
        <v>405</v>
      </c>
      <c r="U4" s="238"/>
      <c r="V4" s="2246"/>
      <c r="W4" s="2246"/>
      <c r="X4" s="2246"/>
      <c r="Y4" s="2246"/>
      <c r="Z4" s="2246"/>
      <c r="AA4" s="2247"/>
      <c r="AB4" s="1874"/>
      <c r="AC4" s="2246" t="e">
        <f>INDEX(PT_DIFFERENTIATION_CS,MATCH(C4,PT_DIFFERENTIATION_CS_ID,0))</f>
        <v>#N/A</v>
      </c>
      <c r="AD4" s="2246"/>
      <c r="AE4" s="2246"/>
      <c r="AF4" s="2246"/>
      <c r="AG4" s="2246"/>
      <c r="AH4" s="2246"/>
      <c r="AI4" s="2246"/>
      <c r="AJ4" s="2247"/>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87"/>
      <c r="F5" s="2287"/>
      <c r="G5" s="2287"/>
      <c r="H5" s="2286">
        <v>1</v>
      </c>
      <c r="I5" s="1194"/>
      <c r="J5" s="1194"/>
      <c r="K5" s="1194"/>
      <c r="L5" s="1237"/>
      <c r="M5" s="1537"/>
      <c r="N5" s="1537"/>
      <c r="O5" s="1537"/>
      <c r="P5" s="1339"/>
      <c r="Q5" s="1338"/>
      <c r="R5" s="290"/>
      <c r="S5" s="1880" t="e">
        <f>INDEX(PT_DIFFERENTIATION_NUM_IST_TE,MATCH(D5,PT_DIFFERENTIATION_IST_TE_ID,0))</f>
        <v>#N/A</v>
      </c>
      <c r="T5" s="248" t="s">
        <v>407</v>
      </c>
      <c r="U5" s="238"/>
      <c r="V5" s="2246"/>
      <c r="W5" s="2246"/>
      <c r="X5" s="2246"/>
      <c r="Y5" s="2246"/>
      <c r="Z5" s="2246"/>
      <c r="AA5" s="2247"/>
      <c r="AB5" s="1874"/>
      <c r="AC5" s="2246" t="e">
        <f>INDEX(PT_DIFFERENTIATION_IST_TE,MATCH(D5,PT_DIFFERENTIATION_IST_TE_ID,0))</f>
        <v>#N/A</v>
      </c>
      <c r="AD5" s="2246"/>
      <c r="AE5" s="2246"/>
      <c r="AF5" s="2246"/>
      <c r="AG5" s="2246"/>
      <c r="AH5" s="2246"/>
      <c r="AI5" s="2246"/>
      <c r="AJ5" s="2247"/>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87"/>
      <c r="F6" s="2287"/>
      <c r="G6" s="2287"/>
      <c r="H6" s="2287"/>
      <c r="I6" s="2116" t="e">
        <f>S5&amp;".1"</f>
        <v>#N/A</v>
      </c>
      <c r="J6" s="1302"/>
      <c r="K6" s="1302"/>
      <c r="L6" s="1308" t="s">
        <v>409</v>
      </c>
      <c r="M6" s="1173"/>
      <c r="N6" s="1173"/>
      <c r="O6" s="1173"/>
      <c r="P6" s="2255">
        <v>1</v>
      </c>
      <c r="Q6" s="1876"/>
      <c r="R6" s="293"/>
      <c r="S6" s="972"/>
      <c r="T6" s="1310"/>
      <c r="U6" s="1311"/>
      <c r="V6" s="2292"/>
      <c r="W6" s="2292"/>
      <c r="X6" s="2292"/>
      <c r="Y6" s="2292"/>
      <c r="Z6" s="2292"/>
      <c r="AA6" s="2293"/>
      <c r="AB6" s="1882"/>
      <c r="AC6" s="2292"/>
      <c r="AD6" s="2292"/>
      <c r="AE6" s="2292"/>
      <c r="AF6" s="2292"/>
      <c r="AG6" s="2292"/>
      <c r="AH6" s="2292"/>
      <c r="AI6" s="2292"/>
      <c r="AJ6" s="2293"/>
      <c r="AK6" s="1312"/>
      <c r="AM6" s="1551"/>
      <c r="AN6" s="1551" t="str">
        <f t="shared" si="0"/>
        <v/>
      </c>
      <c r="AO6" s="1551"/>
      <c r="AP6" s="1551"/>
      <c r="AQ6" s="1563">
        <v>0</v>
      </c>
    </row>
    <row r="7" spans="1:43" s="1569" customFormat="1" ht="0.75" hidden="1" customHeight="1">
      <c r="A7" s="1302"/>
      <c r="B7" s="1302"/>
      <c r="C7" s="1302"/>
      <c r="D7" s="1302"/>
      <c r="E7" s="2287"/>
      <c r="F7" s="2287"/>
      <c r="G7" s="2287"/>
      <c r="H7" s="2287"/>
      <c r="I7" s="2098"/>
      <c r="J7" s="2116" t="e">
        <f>S5&amp;".1"</f>
        <v>#N/A</v>
      </c>
      <c r="K7" s="1302"/>
      <c r="L7" s="1308"/>
      <c r="M7" s="1173"/>
      <c r="N7" s="1173"/>
      <c r="O7" s="1173"/>
      <c r="P7" s="2255"/>
      <c r="Q7" s="2255">
        <v>1</v>
      </c>
      <c r="R7" s="294"/>
      <c r="S7" s="972"/>
      <c r="T7" s="1326"/>
      <c r="U7" s="1311"/>
      <c r="V7" s="2292"/>
      <c r="W7" s="2292"/>
      <c r="X7" s="2292"/>
      <c r="Y7" s="2292"/>
      <c r="Z7" s="2292"/>
      <c r="AA7" s="2293"/>
      <c r="AB7" s="1882"/>
      <c r="AC7" s="2292"/>
      <c r="AD7" s="2292"/>
      <c r="AE7" s="2292"/>
      <c r="AF7" s="2292"/>
      <c r="AG7" s="2292"/>
      <c r="AH7" s="2292"/>
      <c r="AI7" s="2292"/>
      <c r="AJ7" s="2293"/>
      <c r="AK7" s="1312"/>
      <c r="AM7" s="1551"/>
      <c r="AN7" s="1551" t="str">
        <f t="shared" si="0"/>
        <v/>
      </c>
      <c r="AO7" s="1551"/>
      <c r="AP7" s="1551"/>
      <c r="AQ7" s="1563">
        <v>0</v>
      </c>
    </row>
    <row r="8" spans="1:43" ht="21" hidden="1" customHeight="1">
      <c r="A8" s="1194"/>
      <c r="B8" s="1194"/>
      <c r="C8" s="1194"/>
      <c r="D8" s="1194"/>
      <c r="E8" s="2287"/>
      <c r="F8" s="2287"/>
      <c r="G8" s="2287"/>
      <c r="H8" s="2287"/>
      <c r="I8" s="2098"/>
      <c r="J8" s="2098"/>
      <c r="K8" s="1913" t="e">
        <f>S5&amp;".1"</f>
        <v>#N/A</v>
      </c>
      <c r="L8" s="1237"/>
      <c r="P8" s="2255"/>
      <c r="Q8" s="2255"/>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274" t="s">
        <v>469</v>
      </c>
      <c r="AL8" s="1563" t="e">
        <f ca="1">STRCHECKDATE(#REF!)</f>
        <v>#NAME?</v>
      </c>
      <c r="AM8" s="1551"/>
      <c r="AN8" s="1551" t="str">
        <f t="shared" si="0"/>
        <v/>
      </c>
      <c r="AO8" s="1551"/>
      <c r="AP8" s="1551"/>
      <c r="AQ8" s="1558">
        <v>0</v>
      </c>
    </row>
    <row r="9" spans="1:43" ht="11.25" hidden="1" customHeight="1">
      <c r="A9" s="1194"/>
      <c r="B9" s="1194"/>
      <c r="C9" s="1194"/>
      <c r="D9" s="1194"/>
      <c r="E9" s="2287"/>
      <c r="F9" s="2287"/>
      <c r="G9" s="2287"/>
      <c r="H9" s="2287"/>
      <c r="I9" s="2098"/>
      <c r="J9" s="2116"/>
      <c r="K9" s="1194"/>
      <c r="L9" s="1237"/>
      <c r="P9" s="2255"/>
      <c r="Q9" s="2255"/>
      <c r="R9" s="293"/>
      <c r="S9" s="1205"/>
      <c r="T9" s="225" t="s">
        <v>473</v>
      </c>
      <c r="U9" s="537"/>
      <c r="V9" s="537"/>
      <c r="W9" s="537"/>
      <c r="X9" s="537"/>
      <c r="Y9" s="537"/>
      <c r="Z9" s="537"/>
      <c r="AA9" s="537"/>
      <c r="AB9" s="537"/>
      <c r="AC9" s="537"/>
      <c r="AD9" s="537"/>
      <c r="AE9" s="537"/>
      <c r="AF9" s="537"/>
      <c r="AG9" s="537"/>
      <c r="AH9" s="537"/>
      <c r="AI9" s="537"/>
      <c r="AJ9" s="262"/>
      <c r="AK9" s="2276"/>
      <c r="AM9" s="1551"/>
      <c r="AN9" s="1551" t="str">
        <f t="shared" si="0"/>
        <v>Добавить строку</v>
      </c>
      <c r="AO9" s="1551"/>
      <c r="AP9" s="1551"/>
      <c r="AQ9" s="1558">
        <v>0</v>
      </c>
    </row>
    <row r="10" spans="1:43" s="1569" customFormat="1" ht="0.75" hidden="1" customHeight="1">
      <c r="A10" s="1302"/>
      <c r="B10" s="1302"/>
      <c r="C10" s="1302"/>
      <c r="D10" s="1302"/>
      <c r="E10" s="2287"/>
      <c r="F10" s="2287"/>
      <c r="G10" s="2287"/>
      <c r="H10" s="2287"/>
      <c r="I10" s="2116"/>
      <c r="J10" s="1302"/>
      <c r="K10" s="1302"/>
      <c r="L10" s="1308"/>
      <c r="M10" s="1173"/>
      <c r="N10" s="1173"/>
      <c r="O10" s="1173"/>
      <c r="P10" s="2255"/>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87"/>
      <c r="F11" s="2287"/>
      <c r="G11" s="2287"/>
      <c r="H11" s="228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87"/>
      <c r="F12" s="2287"/>
      <c r="G12" s="2286"/>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87"/>
      <c r="F13" s="2286"/>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86"/>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475</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2"/>
      <c r="U24" s="2232"/>
      <c r="V24" s="2232"/>
      <c r="W24" s="2232"/>
      <c r="X24" s="2232"/>
      <c r="Y24" s="2232"/>
      <c r="Z24" s="2232"/>
      <c r="AA24" s="2232"/>
      <c r="AB24" s="2232"/>
      <c r="AC24" s="2232"/>
      <c r="AD24" s="2232"/>
      <c r="AE24" s="2232"/>
      <c r="AF24" s="2232"/>
      <c r="AG24" s="2232"/>
      <c r="AH24" s="2232"/>
      <c r="AI24" s="1170"/>
      <c r="AQ24" s="1558">
        <v>38</v>
      </c>
    </row>
    <row r="25" spans="1:43" ht="14.65" customHeight="1">
      <c r="Q25" s="229"/>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42" t="s">
        <v>42</v>
      </c>
      <c r="T27" s="2242"/>
      <c r="U27" s="1299"/>
      <c r="V27" s="2244" t="str">
        <f>IF(TITLE_NAME_OR_PR_CHANGE="",IF(TITLE_NAME_OR_PR="","",TITLE_NAME_OR_PR),TITLE_NAME_OR_PR_CHANGE)</f>
        <v/>
      </c>
      <c r="W27" s="2244"/>
      <c r="X27" s="2244"/>
      <c r="Y27" s="2244"/>
      <c r="Z27" s="2244"/>
      <c r="AA27" s="1562"/>
      <c r="AB27" s="1562"/>
      <c r="AC27" s="2244"/>
      <c r="AD27" s="2244"/>
      <c r="AE27" s="2244"/>
      <c r="AF27" s="2244"/>
      <c r="AG27" s="2244"/>
      <c r="AH27" s="2244"/>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42" t="s">
        <v>426</v>
      </c>
      <c r="T28" s="2242"/>
      <c r="U28" s="1299"/>
      <c r="V28" s="2243">
        <f>IF(TITLE_DATE_PR_CHANGE="",IF(TITLE_DATE_PR="","",TITLE_DATE_PR),TITLE_DATE_PR_CHANGE)</f>
        <v>45777</v>
      </c>
      <c r="W28" s="2243"/>
      <c r="X28" s="2243"/>
      <c r="Y28" s="2243"/>
      <c r="Z28" s="2243"/>
      <c r="AA28" s="1562"/>
      <c r="AB28" s="1562"/>
      <c r="AC28" s="2243"/>
      <c r="AD28" s="2243"/>
      <c r="AE28" s="2243"/>
      <c r="AF28" s="2243"/>
      <c r="AG28" s="2243"/>
      <c r="AH28" s="2243"/>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42" t="s">
        <v>427</v>
      </c>
      <c r="T29" s="2242"/>
      <c r="U29" s="1299"/>
      <c r="V29" s="2244" t="str">
        <f>IF(TITLE_NUMBER_PR_CHANGE="",IF(TITLE_NUMBER_PR="","",TITLE_NUMBER_PR),TITLE_NUMBER_PR_CHANGE)</f>
        <v>466</v>
      </c>
      <c r="W29" s="2244"/>
      <c r="X29" s="2244"/>
      <c r="Y29" s="2244"/>
      <c r="Z29" s="2244"/>
      <c r="AA29" s="1562"/>
      <c r="AB29" s="1562"/>
      <c r="AC29" s="2244"/>
      <c r="AD29" s="2244"/>
      <c r="AE29" s="2244"/>
      <c r="AF29" s="2244"/>
      <c r="AG29" s="2244"/>
      <c r="AH29" s="2244"/>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42" t="s">
        <v>43</v>
      </c>
      <c r="T30" s="2242"/>
      <c r="U30" s="1299"/>
      <c r="V30" s="2244" t="str">
        <f>IF(TITLE_IST_PUB_CHANGE="",IF(TITLE_IST_PUB="","",TITLE_IST_PUB),TITLE_IST_PUB_CHANGE)</f>
        <v/>
      </c>
      <c r="W30" s="2244"/>
      <c r="X30" s="2244"/>
      <c r="Y30" s="2244"/>
      <c r="Z30" s="2244"/>
      <c r="AA30" s="1562"/>
      <c r="AB30" s="1562"/>
      <c r="AC30" s="2244"/>
      <c r="AD30" s="2244"/>
      <c r="AE30" s="2244"/>
      <c r="AF30" s="2244"/>
      <c r="AG30" s="2244"/>
      <c r="AH30" s="2244"/>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42" t="s">
        <v>426</v>
      </c>
      <c r="T32" s="2242"/>
      <c r="U32" s="1299"/>
      <c r="V32" s="2243">
        <f>IF(TITLE_DATE_PR_CHANGE="",IF(TITLE_DATE_PR="","",TITLE_DATE_PR),TITLE_DATE_PR_CHANGE)</f>
        <v>45777</v>
      </c>
      <c r="W32" s="2243"/>
      <c r="X32" s="2243"/>
      <c r="Y32" s="2243"/>
      <c r="Z32" s="2243"/>
      <c r="AA32" s="1562"/>
      <c r="AB32" s="1562"/>
      <c r="AC32" s="2243"/>
      <c r="AD32" s="2243"/>
      <c r="AE32" s="2243"/>
      <c r="AF32" s="2243"/>
      <c r="AG32" s="2243"/>
      <c r="AH32" s="2243"/>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42" t="s">
        <v>427</v>
      </c>
      <c r="T33" s="2242"/>
      <c r="U33" s="1299"/>
      <c r="V33" s="2244" t="str">
        <f>IF(TITLE_NUMBER_PR_CHANGE="",IF(TITLE_NUMBER_PR="","",TITLE_NUMBER_PR),TITLE_NUMBER_PR_CHANGE)</f>
        <v>466</v>
      </c>
      <c r="W33" s="2244"/>
      <c r="X33" s="2244"/>
      <c r="Y33" s="2244"/>
      <c r="Z33" s="2244"/>
      <c r="AA33" s="1562"/>
      <c r="AB33" s="1562"/>
      <c r="AC33" s="2244"/>
      <c r="AD33" s="2244"/>
      <c r="AE33" s="2244"/>
      <c r="AF33" s="2244"/>
      <c r="AG33" s="2244"/>
      <c r="AH33" s="2244"/>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63"/>
      <c r="W35" s="2263"/>
      <c r="X35" s="2263"/>
      <c r="Y35" s="2263"/>
      <c r="Z35" s="2263"/>
      <c r="AA35" s="2263"/>
      <c r="AB35" s="1879"/>
      <c r="AC35" s="2263"/>
      <c r="AD35" s="2263"/>
      <c r="AE35" s="2263"/>
      <c r="AF35" s="2263"/>
      <c r="AG35" s="2263"/>
      <c r="AH35" s="2263"/>
      <c r="AI35" s="2263"/>
      <c r="AQ35" s="1558">
        <v>14</v>
      </c>
    </row>
    <row r="36" spans="1:43" ht="14.65" customHeight="1">
      <c r="Q36" s="229"/>
      <c r="R36" s="313"/>
      <c r="S36" s="2116" t="s">
        <v>306</v>
      </c>
      <c r="T36" s="2116"/>
      <c r="U36" s="2116"/>
      <c r="V36" s="2116"/>
      <c r="W36" s="2116"/>
      <c r="X36" s="2116"/>
      <c r="Y36" s="2116"/>
      <c r="Z36" s="2116"/>
      <c r="AA36" s="2184"/>
      <c r="AB36" s="2184"/>
      <c r="AC36" s="2184"/>
      <c r="AD36" s="2116"/>
      <c r="AE36" s="2116"/>
      <c r="AF36" s="2116"/>
      <c r="AG36" s="2116"/>
      <c r="AH36" s="2116"/>
      <c r="AI36" s="2116"/>
      <c r="AJ36" s="2116"/>
      <c r="AK36" s="2116" t="s">
        <v>307</v>
      </c>
      <c r="AQ36" s="1558">
        <v>14</v>
      </c>
    </row>
    <row r="37" spans="1:43" ht="14.65" customHeight="1">
      <c r="Q37" s="229"/>
      <c r="R37" s="313"/>
      <c r="S37" s="2264" t="s">
        <v>88</v>
      </c>
      <c r="T37" s="2212" t="s">
        <v>512</v>
      </c>
      <c r="U37" s="275"/>
      <c r="V37" s="2266"/>
      <c r="W37" s="2266"/>
      <c r="X37" s="2266"/>
      <c r="Y37" s="2266"/>
      <c r="Z37" s="2266"/>
      <c r="AA37" s="2212" t="s">
        <v>433</v>
      </c>
      <c r="AB37" s="2211" t="s">
        <v>513</v>
      </c>
      <c r="AC37" s="2211" t="s">
        <v>479</v>
      </c>
      <c r="AD37" s="2290" t="s">
        <v>432</v>
      </c>
      <c r="AE37" s="2290"/>
      <c r="AF37" s="2266"/>
      <c r="AG37" s="2266"/>
      <c r="AH37" s="2267"/>
      <c r="AI37" s="2268" t="s">
        <v>433</v>
      </c>
      <c r="AJ37" s="2271" t="s">
        <v>435</v>
      </c>
      <c r="AK37" s="2116"/>
      <c r="AQ37" s="1558">
        <v>14</v>
      </c>
    </row>
    <row r="38" spans="1:43" ht="35.65" customHeight="1">
      <c r="Q38" s="229"/>
      <c r="R38" s="313"/>
      <c r="S38" s="2264"/>
      <c r="T38" s="2212"/>
      <c r="U38" s="961"/>
      <c r="V38" s="2097" t="s">
        <v>482</v>
      </c>
      <c r="W38" s="2116"/>
      <c r="X38" s="2185" t="s">
        <v>439</v>
      </c>
      <c r="Y38" s="2302"/>
      <c r="Z38" s="2302"/>
      <c r="AA38" s="2212"/>
      <c r="AB38" s="2211"/>
      <c r="AC38" s="2211"/>
      <c r="AD38" s="2097" t="s">
        <v>482</v>
      </c>
      <c r="AE38" s="2116"/>
      <c r="AF38" s="2302" t="s">
        <v>439</v>
      </c>
      <c r="AG38" s="2302"/>
      <c r="AH38" s="2186"/>
      <c r="AI38" s="2269"/>
      <c r="AJ38" s="2272"/>
      <c r="AK38" s="2116"/>
      <c r="AQ38" s="1558">
        <v>34</v>
      </c>
    </row>
    <row r="39" spans="1:43" ht="14.65" customHeight="1">
      <c r="Q39" s="229"/>
      <c r="R39" s="313"/>
      <c r="S39" s="2264"/>
      <c r="T39" s="2212"/>
      <c r="U39" s="961"/>
      <c r="V39" s="2326" t="str">
        <f>IF($AD$39&lt;&gt;"",$AD$39,"")</f>
        <v/>
      </c>
      <c r="W39" s="2326"/>
      <c r="X39" s="2190"/>
      <c r="Y39" s="2303"/>
      <c r="Z39" s="2303"/>
      <c r="AA39" s="2212"/>
      <c r="AB39" s="2211"/>
      <c r="AC39" s="2211"/>
      <c r="AD39" s="2337"/>
      <c r="AE39" s="2325"/>
      <c r="AF39" s="2303"/>
      <c r="AG39" s="2303"/>
      <c r="AH39" s="2191"/>
      <c r="AI39" s="2269"/>
      <c r="AJ39" s="2272"/>
      <c r="AK39" s="2116"/>
      <c r="AQ39" s="1558">
        <v>14</v>
      </c>
    </row>
    <row r="40" spans="1:43" ht="14.65" customHeight="1">
      <c r="A40" s="1193"/>
      <c r="B40" s="1193" t="s">
        <v>136</v>
      </c>
      <c r="C40" s="1193" t="s">
        <v>137</v>
      </c>
      <c r="D40" s="1193" t="s">
        <v>138</v>
      </c>
      <c r="E40" s="1237" t="s">
        <v>440</v>
      </c>
      <c r="F40" s="1237" t="s">
        <v>441</v>
      </c>
      <c r="G40" s="1237" t="s">
        <v>442</v>
      </c>
      <c r="H40" s="1237" t="s">
        <v>443</v>
      </c>
      <c r="I40" s="1237" t="s">
        <v>444</v>
      </c>
      <c r="J40" s="1237" t="s">
        <v>445</v>
      </c>
      <c r="K40" s="1237" t="s">
        <v>446</v>
      </c>
      <c r="L40" s="1237" t="s">
        <v>421</v>
      </c>
      <c r="Q40" s="229"/>
      <c r="R40" s="313"/>
      <c r="S40" s="2264"/>
      <c r="T40" s="2212"/>
      <c r="U40" s="240"/>
      <c r="V40" s="1872" t="s">
        <v>484</v>
      </c>
      <c r="W40" s="1872" t="s">
        <v>485</v>
      </c>
      <c r="X40" s="1860" t="s">
        <v>449</v>
      </c>
      <c r="Y40" s="2217" t="s">
        <v>450</v>
      </c>
      <c r="Z40" s="2230"/>
      <c r="AA40" s="2212"/>
      <c r="AB40" s="2211"/>
      <c r="AC40" s="2211"/>
      <c r="AD40" s="1890" t="s">
        <v>484</v>
      </c>
      <c r="AE40" s="1881" t="s">
        <v>485</v>
      </c>
      <c r="AF40" s="1860" t="s">
        <v>449</v>
      </c>
      <c r="AG40" s="2217" t="s">
        <v>450</v>
      </c>
      <c r="AH40" s="2231"/>
      <c r="AI40" s="2270"/>
      <c r="AJ40" s="2273"/>
      <c r="AK40" s="2116"/>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62">
        <f ca="1">OFFSET(Y41,0,-1)+1</f>
        <v>6</v>
      </c>
      <c r="Z41" s="2262"/>
      <c r="AA41" s="1268">
        <f ca="1">OFFSET(AA41,0,-2)+1</f>
        <v>7</v>
      </c>
      <c r="AB41" s="1268"/>
      <c r="AC41" s="1268"/>
      <c r="AD41" s="1878">
        <f ca="1">OFFSET(AD41,0,-1)+1</f>
        <v>1</v>
      </c>
      <c r="AE41" s="1878">
        <f ca="1">OFFSET(AE41,0,-1)+1</f>
        <v>2</v>
      </c>
      <c r="AF41" s="1878">
        <f ca="1">OFFSET(AF41,0,-1)+1</f>
        <v>3</v>
      </c>
      <c r="AG41" s="2262">
        <f ca="1">OFFSET(AG41,0,-1)+1</f>
        <v>4</v>
      </c>
      <c r="AH41" s="2262"/>
      <c r="AI41" s="1878">
        <f ca="1">OFFSET(AI41,0,-2)+1</f>
        <v>5</v>
      </c>
      <c r="AJ41" s="1172">
        <f ca="1">OFFSET(AJ41,0,-1)</f>
        <v>5</v>
      </c>
      <c r="AK41" s="1878">
        <f ca="1">OFFSET(AK41,0,-1)+1</f>
        <v>6</v>
      </c>
      <c r="AL41" s="1563"/>
      <c r="AM41" s="1563"/>
      <c r="AN41" s="1563"/>
      <c r="AO41" s="1563"/>
      <c r="AP41" s="1563"/>
      <c r="AQ41" s="1568">
        <v>0</v>
      </c>
    </row>
    <row r="42" spans="1:43" ht="107.25" customHeight="1">
      <c r="A42" s="1194" t="s">
        <v>212</v>
      </c>
      <c r="B42" s="1194"/>
      <c r="C42" s="1194"/>
      <c r="D42" s="1194"/>
      <c r="E42" s="228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46"/>
      <c r="W42" s="2246"/>
      <c r="X42" s="2246"/>
      <c r="Y42" s="2246"/>
      <c r="Z42" s="2246"/>
      <c r="AA42" s="2247"/>
      <c r="AB42" s="1874"/>
      <c r="AC42" s="2246" t="str">
        <f>INDEX(PT_DIFFERENTIATION_NTAR,MATCH(A42,PT_DIFFERENTIATION_NTAR_ID,0))</f>
        <v/>
      </c>
      <c r="AD42" s="2246"/>
      <c r="AE42" s="2246"/>
      <c r="AF42" s="2246"/>
      <c r="AG42" s="2246"/>
      <c r="AH42" s="2246"/>
      <c r="AI42" s="2246"/>
      <c r="AJ42" s="224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212</v>
      </c>
      <c r="B43" s="1194" t="s">
        <v>213</v>
      </c>
      <c r="C43" s="1194"/>
      <c r="D43" s="1194"/>
      <c r="E43" s="2287"/>
      <c r="F43" s="2286">
        <v>1</v>
      </c>
      <c r="G43" s="1194"/>
      <c r="H43" s="1194"/>
      <c r="I43" s="1194"/>
      <c r="J43" s="1194"/>
      <c r="K43" s="1194"/>
      <c r="L43" s="1237"/>
      <c r="M43" s="1537"/>
      <c r="N43" s="1537"/>
      <c r="O43" s="1537"/>
      <c r="P43" s="1891"/>
      <c r="Q43" s="1338"/>
      <c r="R43" s="290"/>
      <c r="S43" s="1880" t="str">
        <f>INDEX(PT_DIFFERENTIATION_NUM_TER,MATCH(B43,PT_DIFFERENTIATION_TER_ID,0))</f>
        <v>.</v>
      </c>
      <c r="T43" s="1449" t="s">
        <v>403</v>
      </c>
      <c r="U43" s="238"/>
      <c r="V43" s="2246"/>
      <c r="W43" s="2246"/>
      <c r="X43" s="2246"/>
      <c r="Y43" s="2246"/>
      <c r="Z43" s="2246"/>
      <c r="AA43" s="2247"/>
      <c r="AB43" s="1874"/>
      <c r="AC43" s="2246" t="str">
        <f>INDEX(PT_DIFFERENTIATION_TER,MATCH(B43,PT_DIFFERENTIATION_TER_ID,0))</f>
        <v/>
      </c>
      <c r="AD43" s="2246"/>
      <c r="AE43" s="2246"/>
      <c r="AF43" s="2246"/>
      <c r="AG43" s="2246"/>
      <c r="AH43" s="2246"/>
      <c r="AI43" s="2246"/>
      <c r="AJ43" s="2247"/>
      <c r="AK43" s="1185" t="s">
        <v>404</v>
      </c>
      <c r="AM43" s="1551"/>
      <c r="AN43" s="1551" t="str">
        <f t="shared" si="1"/>
        <v>Территория действия тарифа</v>
      </c>
      <c r="AO43" s="1551"/>
      <c r="AP43" s="1551"/>
      <c r="AQ43" s="1558">
        <v>21</v>
      </c>
    </row>
    <row r="44" spans="1:43" ht="24" customHeight="1">
      <c r="A44" s="1194" t="s">
        <v>212</v>
      </c>
      <c r="B44" s="1194" t="s">
        <v>213</v>
      </c>
      <c r="C44" s="1194" t="s">
        <v>214</v>
      </c>
      <c r="D44" s="1194"/>
      <c r="E44" s="2287"/>
      <c r="F44" s="2287"/>
      <c r="G44" s="2286">
        <v>1</v>
      </c>
      <c r="H44" s="1194"/>
      <c r="I44" s="1194"/>
      <c r="J44" s="1194"/>
      <c r="K44" s="1194"/>
      <c r="L44" s="1237"/>
      <c r="M44" s="1537"/>
      <c r="N44" s="1537"/>
      <c r="O44" s="1537"/>
      <c r="P44" s="1339"/>
      <c r="Q44" s="1338"/>
      <c r="R44" s="290"/>
      <c r="S44" s="1880" t="str">
        <f>INDEX(PT_DIFFERENTIATION_NUM_CS,MATCH(C44,PT_DIFFERENTIATION_CS_ID,0))</f>
        <v>..</v>
      </c>
      <c r="T44" s="247" t="s">
        <v>405</v>
      </c>
      <c r="U44" s="238"/>
      <c r="V44" s="2246"/>
      <c r="W44" s="2246"/>
      <c r="X44" s="2246"/>
      <c r="Y44" s="2246"/>
      <c r="Z44" s="2246"/>
      <c r="AA44" s="2247"/>
      <c r="AB44" s="1874"/>
      <c r="AC44" s="2246" t="str">
        <f>INDEX(PT_DIFFERENTIATION_CS,MATCH(C44,PT_DIFFERENTIATION_CS_ID,0))</f>
        <v/>
      </c>
      <c r="AD44" s="2246"/>
      <c r="AE44" s="2246"/>
      <c r="AF44" s="2246"/>
      <c r="AG44" s="2246"/>
      <c r="AH44" s="2246"/>
      <c r="AI44" s="2246"/>
      <c r="AJ44" s="2247"/>
      <c r="AK44" s="1185" t="s">
        <v>406</v>
      </c>
      <c r="AM44" s="1551"/>
      <c r="AN44" s="1551" t="str">
        <f t="shared" si="1"/>
        <v xml:space="preserve">Наименование системы теплоснабжения </v>
      </c>
      <c r="AO44" s="1551"/>
      <c r="AP44" s="1551"/>
      <c r="AQ44" s="1558">
        <v>23</v>
      </c>
    </row>
    <row r="45" spans="1:43" ht="21.95" customHeight="1">
      <c r="A45" s="1194" t="s">
        <v>212</v>
      </c>
      <c r="B45" s="1194" t="s">
        <v>213</v>
      </c>
      <c r="C45" s="1194" t="s">
        <v>214</v>
      </c>
      <c r="D45" s="1194" t="s">
        <v>215</v>
      </c>
      <c r="E45" s="2287"/>
      <c r="F45" s="2287"/>
      <c r="G45" s="2287"/>
      <c r="H45" s="2286">
        <v>1</v>
      </c>
      <c r="I45" s="1194"/>
      <c r="J45" s="1194"/>
      <c r="K45" s="1194"/>
      <c r="L45" s="1237"/>
      <c r="M45" s="1537"/>
      <c r="N45" s="1537"/>
      <c r="O45" s="1537"/>
      <c r="P45" s="1339"/>
      <c r="Q45" s="1338"/>
      <c r="R45" s="290"/>
      <c r="S45" s="1880" t="str">
        <f>INDEX(PT_DIFFERENTIATION_NUM_IST_TE,MATCH(D45,PT_DIFFERENTIATION_IST_TE_ID,0))</f>
        <v>...</v>
      </c>
      <c r="T45" s="248" t="s">
        <v>407</v>
      </c>
      <c r="U45" s="238"/>
      <c r="V45" s="2246"/>
      <c r="W45" s="2246"/>
      <c r="X45" s="2246"/>
      <c r="Y45" s="2246"/>
      <c r="Z45" s="2246"/>
      <c r="AA45" s="2247"/>
      <c r="AB45" s="1874"/>
      <c r="AC45" s="2246" t="str">
        <f>INDEX(PT_DIFFERENTIATION_IST_TE,MATCH(D45,PT_DIFFERENTIATION_IST_TE_ID,0))</f>
        <v/>
      </c>
      <c r="AD45" s="2246"/>
      <c r="AE45" s="2246"/>
      <c r="AF45" s="2246"/>
      <c r="AG45" s="2246"/>
      <c r="AH45" s="2246"/>
      <c r="AI45" s="2246"/>
      <c r="AJ45" s="2247"/>
      <c r="AK45" s="1185" t="s">
        <v>408</v>
      </c>
      <c r="AM45" s="1551"/>
      <c r="AN45" s="1551" t="str">
        <f t="shared" si="1"/>
        <v xml:space="preserve">Источник тепловой энергии  </v>
      </c>
      <c r="AO45" s="1551"/>
      <c r="AP45" s="1551"/>
      <c r="AQ45" s="1558">
        <v>21</v>
      </c>
    </row>
    <row r="46" spans="1:43" s="1569" customFormat="1" ht="0" hidden="1" customHeight="1">
      <c r="A46" s="1302" t="s">
        <v>212</v>
      </c>
      <c r="B46" s="1302" t="s">
        <v>213</v>
      </c>
      <c r="C46" s="1302" t="s">
        <v>214</v>
      </c>
      <c r="D46" s="1302" t="s">
        <v>215</v>
      </c>
      <c r="E46" s="2287"/>
      <c r="F46" s="2287"/>
      <c r="G46" s="2287"/>
      <c r="H46" s="2287"/>
      <c r="I46" s="2116" t="str">
        <f>S45&amp;".1"</f>
        <v>....1</v>
      </c>
      <c r="J46" s="1302"/>
      <c r="K46" s="1302"/>
      <c r="L46" s="1308" t="s">
        <v>409</v>
      </c>
      <c r="M46" s="1173"/>
      <c r="N46" s="1173"/>
      <c r="O46" s="1173"/>
      <c r="P46" s="2255">
        <v>1</v>
      </c>
      <c r="Q46" s="1876"/>
      <c r="R46" s="293"/>
      <c r="S46" s="972"/>
      <c r="T46" s="1310"/>
      <c r="U46" s="1311"/>
      <c r="V46" s="2292"/>
      <c r="W46" s="2292"/>
      <c r="X46" s="2292"/>
      <c r="Y46" s="2292"/>
      <c r="Z46" s="2292"/>
      <c r="AA46" s="2293"/>
      <c r="AB46" s="1882"/>
      <c r="AC46" s="2292"/>
      <c r="AD46" s="2292"/>
      <c r="AE46" s="2292"/>
      <c r="AF46" s="2292"/>
      <c r="AG46" s="2292"/>
      <c r="AH46" s="2292"/>
      <c r="AI46" s="2292"/>
      <c r="AJ46" s="2293"/>
      <c r="AK46" s="1312"/>
      <c r="AM46" s="1551"/>
      <c r="AN46" s="1551" t="str">
        <f t="shared" si="1"/>
        <v/>
      </c>
      <c r="AO46" s="1551"/>
      <c r="AP46" s="1551"/>
      <c r="AQ46" s="1563">
        <v>0</v>
      </c>
    </row>
    <row r="47" spans="1:43" s="1569" customFormat="1" ht="0" hidden="1" customHeight="1">
      <c r="A47" s="1302" t="s">
        <v>212</v>
      </c>
      <c r="B47" s="1302" t="s">
        <v>213</v>
      </c>
      <c r="C47" s="1302" t="s">
        <v>214</v>
      </c>
      <c r="D47" s="1302" t="s">
        <v>215</v>
      </c>
      <c r="E47" s="2287"/>
      <c r="F47" s="2287"/>
      <c r="G47" s="2287"/>
      <c r="H47" s="2287"/>
      <c r="I47" s="2098"/>
      <c r="J47" s="2116" t="str">
        <f>S45&amp;".1"</f>
        <v>....1</v>
      </c>
      <c r="K47" s="1302"/>
      <c r="L47" s="1308"/>
      <c r="M47" s="1173"/>
      <c r="N47" s="1173"/>
      <c r="O47" s="1173"/>
      <c r="P47" s="2255"/>
      <c r="Q47" s="2255">
        <v>1</v>
      </c>
      <c r="R47" s="294"/>
      <c r="S47" s="972"/>
      <c r="T47" s="1326"/>
      <c r="U47" s="1311"/>
      <c r="V47" s="2292"/>
      <c r="W47" s="2292"/>
      <c r="X47" s="2292"/>
      <c r="Y47" s="2292"/>
      <c r="Z47" s="2292"/>
      <c r="AA47" s="2293"/>
      <c r="AB47" s="1882"/>
      <c r="AC47" s="2292"/>
      <c r="AD47" s="2292"/>
      <c r="AE47" s="2292"/>
      <c r="AF47" s="2292"/>
      <c r="AG47" s="2292"/>
      <c r="AH47" s="2292"/>
      <c r="AI47" s="2292"/>
      <c r="AJ47" s="2293"/>
      <c r="AK47" s="1312"/>
      <c r="AM47" s="1551"/>
      <c r="AN47" s="1551" t="str">
        <f t="shared" si="1"/>
        <v/>
      </c>
      <c r="AO47" s="1551"/>
      <c r="AP47" s="1551"/>
      <c r="AQ47" s="1563">
        <v>0</v>
      </c>
    </row>
    <row r="48" spans="1:43" ht="21.95" customHeight="1">
      <c r="A48" s="1194" t="s">
        <v>212</v>
      </c>
      <c r="B48" s="1194" t="s">
        <v>213</v>
      </c>
      <c r="C48" s="1194" t="s">
        <v>214</v>
      </c>
      <c r="D48" s="1194" t="s">
        <v>215</v>
      </c>
      <c r="E48" s="2287"/>
      <c r="F48" s="2287"/>
      <c r="G48" s="2287"/>
      <c r="H48" s="2287"/>
      <c r="I48" s="2098"/>
      <c r="J48" s="2098"/>
      <c r="K48" s="1863" t="str">
        <f>S45&amp;".1"</f>
        <v>....1</v>
      </c>
      <c r="L48" s="1237"/>
      <c r="P48" s="2255"/>
      <c r="Q48" s="2255"/>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274" t="s">
        <v>487</v>
      </c>
      <c r="AL48" s="1563" t="e">
        <f ca="1">STRCHECKDATE(#REF!)</f>
        <v>#NAME?</v>
      </c>
      <c r="AM48" s="1551"/>
      <c r="AN48" s="1551" t="str">
        <f t="shared" si="1"/>
        <v/>
      </c>
      <c r="AO48" s="1551"/>
      <c r="AP48" s="1551"/>
      <c r="AQ48" s="1558">
        <v>21</v>
      </c>
    </row>
    <row r="49" spans="1:43" ht="11.45" customHeight="1">
      <c r="A49" s="1194" t="s">
        <v>212</v>
      </c>
      <c r="B49" s="1194" t="s">
        <v>213</v>
      </c>
      <c r="C49" s="1194" t="s">
        <v>214</v>
      </c>
      <c r="D49" s="1194" t="s">
        <v>215</v>
      </c>
      <c r="E49" s="2287"/>
      <c r="F49" s="2287"/>
      <c r="G49" s="2287"/>
      <c r="H49" s="2287"/>
      <c r="I49" s="2098"/>
      <c r="J49" s="2116"/>
      <c r="K49" s="1194"/>
      <c r="L49" s="1237"/>
      <c r="P49" s="2255"/>
      <c r="Q49" s="2255"/>
      <c r="R49" s="293"/>
      <c r="S49" s="1205"/>
      <c r="T49" s="225" t="s">
        <v>473</v>
      </c>
      <c r="U49" s="537"/>
      <c r="V49" s="537"/>
      <c r="W49" s="537"/>
      <c r="X49" s="537"/>
      <c r="Y49" s="537"/>
      <c r="Z49" s="537"/>
      <c r="AA49" s="262"/>
      <c r="AB49" s="537"/>
      <c r="AC49" s="537"/>
      <c r="AD49" s="537"/>
      <c r="AE49" s="537"/>
      <c r="AF49" s="537"/>
      <c r="AG49" s="537"/>
      <c r="AH49" s="537"/>
      <c r="AI49" s="537"/>
      <c r="AJ49" s="262"/>
      <c r="AK49" s="2276"/>
      <c r="AM49" s="1551"/>
      <c r="AN49" s="1551" t="str">
        <f t="shared" si="1"/>
        <v>Добавить строку</v>
      </c>
      <c r="AO49" s="1551"/>
      <c r="AP49" s="1551"/>
      <c r="AQ49" s="1558">
        <v>11</v>
      </c>
    </row>
    <row r="50" spans="1:43" s="1569" customFormat="1" ht="1.1499999999999999" customHeight="1">
      <c r="A50" s="1302" t="s">
        <v>212</v>
      </c>
      <c r="B50" s="1302" t="s">
        <v>213</v>
      </c>
      <c r="C50" s="1302" t="s">
        <v>214</v>
      </c>
      <c r="D50" s="1302" t="s">
        <v>215</v>
      </c>
      <c r="E50" s="2287"/>
      <c r="F50" s="2287"/>
      <c r="G50" s="2287"/>
      <c r="H50" s="2287"/>
      <c r="I50" s="2116"/>
      <c r="J50" s="1302"/>
      <c r="K50" s="1302"/>
      <c r="L50" s="1308"/>
      <c r="M50" s="1173"/>
      <c r="N50" s="1173"/>
      <c r="O50" s="1173"/>
      <c r="P50" s="2255"/>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212</v>
      </c>
      <c r="B51" s="1302" t="s">
        <v>213</v>
      </c>
      <c r="C51" s="1302" t="s">
        <v>214</v>
      </c>
      <c r="D51" s="1302" t="s">
        <v>215</v>
      </c>
      <c r="E51" s="2287"/>
      <c r="F51" s="2287"/>
      <c r="G51" s="2287"/>
      <c r="H51" s="228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212</v>
      </c>
      <c r="B52" s="1302" t="s">
        <v>213</v>
      </c>
      <c r="C52" s="1302" t="s">
        <v>214</v>
      </c>
      <c r="D52" s="1301"/>
      <c r="E52" s="2287"/>
      <c r="F52" s="2287"/>
      <c r="G52" s="2286"/>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212</v>
      </c>
      <c r="B53" s="1302" t="s">
        <v>213</v>
      </c>
      <c r="C53" s="1301"/>
      <c r="D53" s="1301"/>
      <c r="E53" s="2287"/>
      <c r="F53" s="2286"/>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212</v>
      </c>
      <c r="B54" s="1302"/>
      <c r="C54" s="1302"/>
      <c r="D54" s="1302"/>
      <c r="E54" s="2287"/>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212</v>
      </c>
      <c r="B55" s="1302"/>
      <c r="C55" s="1302"/>
      <c r="D55" s="1302"/>
      <c r="E55" s="2286"/>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50"/>
      <c r="U58" s="2250"/>
      <c r="V58" s="2250"/>
      <c r="W58" s="2250"/>
      <c r="X58" s="2250"/>
      <c r="Y58" s="2250"/>
      <c r="Z58" s="2250"/>
      <c r="AA58" s="2250"/>
      <c r="AB58" s="2250"/>
      <c r="AC58" s="2250"/>
      <c r="AD58" s="2250"/>
      <c r="AE58" s="2250"/>
      <c r="AF58" s="2250"/>
      <c r="AG58" s="2250"/>
      <c r="AH58" s="2250"/>
      <c r="AI58" s="2250"/>
      <c r="AJ58" s="2250"/>
      <c r="AK58" s="2250"/>
      <c r="AQ58" s="1558">
        <v>19</v>
      </c>
    </row>
    <row r="59" spans="1:43" ht="21" customHeight="1">
      <c r="O59" s="1562"/>
      <c r="T59" s="2250"/>
      <c r="U59" s="2250"/>
      <c r="V59" s="2250"/>
      <c r="W59" s="2250"/>
      <c r="X59" s="2250"/>
      <c r="Y59" s="2250"/>
      <c r="Z59" s="2250"/>
      <c r="AA59" s="2250"/>
      <c r="AB59" s="2250"/>
      <c r="AC59" s="2250"/>
      <c r="AD59" s="2250"/>
      <c r="AE59" s="2250"/>
      <c r="AF59" s="2250"/>
      <c r="AG59" s="2250"/>
      <c r="AH59" s="2250"/>
      <c r="AI59" s="2250"/>
      <c r="AJ59" s="2250"/>
      <c r="AK59" s="2250"/>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50"/>
      <c r="U61" s="2250"/>
      <c r="V61" s="2250"/>
      <c r="W61" s="2250"/>
      <c r="X61" s="2250"/>
      <c r="Y61" s="2250"/>
      <c r="Z61" s="2250"/>
      <c r="AA61" s="2250"/>
      <c r="AB61" s="2250"/>
      <c r="AC61" s="2250"/>
      <c r="AD61" s="2250"/>
      <c r="AE61" s="2250"/>
      <c r="AF61" s="2250"/>
      <c r="AG61" s="2250"/>
      <c r="AH61" s="2250"/>
      <c r="AI61" s="2250"/>
      <c r="AJ61" s="2250"/>
      <c r="AK61" s="2250"/>
      <c r="AQ61" s="1558">
        <v>19</v>
      </c>
    </row>
    <row r="62" spans="1:43" ht="16.899999999999999" customHeight="1">
      <c r="O62" s="1562"/>
      <c r="T62" s="2250"/>
      <c r="U62" s="2250"/>
      <c r="V62" s="2250"/>
      <c r="W62" s="2250"/>
      <c r="X62" s="2250"/>
      <c r="Y62" s="2250"/>
      <c r="Z62" s="2250"/>
      <c r="AA62" s="2250"/>
      <c r="AB62" s="2250"/>
      <c r="AC62" s="2250"/>
      <c r="AD62" s="2250"/>
      <c r="AE62" s="2250"/>
      <c r="AF62" s="2250"/>
      <c r="AG62" s="2250"/>
      <c r="AH62" s="2250"/>
      <c r="AI62" s="2250"/>
      <c r="AJ62" s="2250"/>
      <c r="AK62" s="2250"/>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51">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52"/>
      <c r="F3" s="2251">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85" t="s">
        <v>404</v>
      </c>
      <c r="BE3" s="437"/>
      <c r="BF3" s="437" t="str">
        <f t="shared" si="0"/>
        <v>Территория действия тарифа</v>
      </c>
      <c r="BG3" s="437"/>
      <c r="BH3" s="437"/>
      <c r="BI3" s="1082">
        <v>0</v>
      </c>
    </row>
    <row r="4" spans="1:61" ht="42" hidden="1" customHeight="1">
      <c r="A4" s="1290"/>
      <c r="B4" s="1290"/>
      <c r="C4" s="1290"/>
      <c r="D4" s="1290"/>
      <c r="E4" s="2252"/>
      <c r="F4" s="2252"/>
      <c r="G4" s="2251">
        <v>1</v>
      </c>
      <c r="H4" s="1290"/>
      <c r="I4" s="1290"/>
      <c r="J4" s="1290"/>
      <c r="K4" s="1290"/>
      <c r="L4" s="1291"/>
      <c r="M4" s="1292"/>
      <c r="N4" s="1292"/>
      <c r="O4" s="1292"/>
      <c r="P4" s="1339"/>
      <c r="Q4" s="1338"/>
      <c r="R4" s="290"/>
      <c r="S4" s="1392" t="e">
        <f>INDEX(PT_DIFFERENTIATION_NUM_CS,MATCH(C4,PT_DIFFERENTIATION_CS_ID,0))</f>
        <v>#N/A</v>
      </c>
      <c r="T4" s="247" t="s">
        <v>494</v>
      </c>
      <c r="U4" s="238"/>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85" t="s">
        <v>495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52"/>
      <c r="F5" s="2252"/>
      <c r="G5" s="2252"/>
      <c r="H5" s="2251">
        <v>1</v>
      </c>
      <c r="I5" s="1270"/>
      <c r="J5" s="1270"/>
      <c r="K5" s="1270"/>
      <c r="L5" s="1273"/>
      <c r="M5" s="1242"/>
      <c r="N5" s="1242"/>
      <c r="O5" s="1242"/>
      <c r="P5" s="1424"/>
      <c r="Q5" s="1425"/>
      <c r="R5" s="294"/>
      <c r="S5" s="972"/>
      <c r="T5" s="1426"/>
      <c r="U5" s="1311"/>
      <c r="V5" s="2292"/>
      <c r="W5" s="2292"/>
      <c r="X5" s="2292"/>
      <c r="Y5" s="2292"/>
      <c r="Z5" s="2292"/>
      <c r="AA5" s="2292"/>
      <c r="AB5" s="2292"/>
      <c r="AC5" s="2293"/>
      <c r="AD5" s="2291"/>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3"/>
      <c r="BC5" s="1312" t="s">
        <v>408</v>
      </c>
      <c r="BE5" s="437"/>
      <c r="BF5" s="437" t="str">
        <f t="shared" si="0"/>
        <v/>
      </c>
      <c r="BG5" s="437"/>
      <c r="BH5" s="437"/>
      <c r="BI5" s="448">
        <v>0</v>
      </c>
    </row>
    <row r="6" spans="1:61" s="1569" customFormat="1" ht="14.25" hidden="1" customHeight="1">
      <c r="A6" s="1270"/>
      <c r="B6" s="1270"/>
      <c r="C6" s="1270"/>
      <c r="D6" s="1270"/>
      <c r="E6" s="2252"/>
      <c r="F6" s="2252"/>
      <c r="G6" s="2252"/>
      <c r="H6" s="2252"/>
      <c r="I6" s="2253" t="str">
        <f>S5&amp;".1"</f>
        <v>.1</v>
      </c>
      <c r="J6" s="1270"/>
      <c r="K6" s="1270"/>
      <c r="L6" s="1273" t="s">
        <v>409</v>
      </c>
      <c r="M6" s="447"/>
      <c r="N6" s="447"/>
      <c r="O6" s="447"/>
      <c r="P6" s="2255">
        <v>1</v>
      </c>
      <c r="Q6" s="1389"/>
      <c r="R6" s="293"/>
      <c r="S6" s="972"/>
      <c r="T6" s="1310"/>
      <c r="U6" s="1311"/>
      <c r="V6" s="2292"/>
      <c r="W6" s="2292"/>
      <c r="X6" s="2292"/>
      <c r="Y6" s="2292"/>
      <c r="Z6" s="2292"/>
      <c r="AA6" s="2292"/>
      <c r="AB6" s="2292"/>
      <c r="AC6" s="2293"/>
      <c r="AD6" s="2291"/>
      <c r="AE6" s="2292"/>
      <c r="AF6" s="2292"/>
      <c r="AG6" s="2292"/>
      <c r="AH6" s="2292"/>
      <c r="AI6" s="2292"/>
      <c r="AJ6" s="2292"/>
      <c r="AK6" s="2292"/>
      <c r="AL6" s="2292"/>
      <c r="AM6" s="2292"/>
      <c r="AN6" s="2292"/>
      <c r="AO6" s="2292"/>
      <c r="AP6" s="2292"/>
      <c r="AQ6" s="2292"/>
      <c r="AR6" s="2292"/>
      <c r="AS6" s="2292"/>
      <c r="AT6" s="2292"/>
      <c r="AU6" s="2292"/>
      <c r="AV6" s="2292"/>
      <c r="AW6" s="2292"/>
      <c r="AX6" s="2292"/>
      <c r="AY6" s="2292"/>
      <c r="AZ6" s="2292"/>
      <c r="BA6" s="2292"/>
      <c r="BB6" s="2293"/>
      <c r="BC6" s="1312"/>
      <c r="BE6" s="437"/>
      <c r="BF6" s="437" t="str">
        <f t="shared" si="0"/>
        <v/>
      </c>
      <c r="BG6" s="437"/>
      <c r="BH6" s="437"/>
      <c r="BI6" s="448">
        <v>0</v>
      </c>
    </row>
    <row r="7" spans="1:61" s="1569" customFormat="1" ht="14.25" hidden="1" customHeight="1">
      <c r="A7" s="1270"/>
      <c r="B7" s="1270"/>
      <c r="C7" s="1270"/>
      <c r="D7" s="1270"/>
      <c r="E7" s="2252"/>
      <c r="F7" s="2252"/>
      <c r="G7" s="2252"/>
      <c r="H7" s="2252"/>
      <c r="I7" s="2254"/>
      <c r="J7" s="2253" t="str">
        <f>S5&amp;".1"</f>
        <v>.1</v>
      </c>
      <c r="K7" s="1270"/>
      <c r="L7" s="1273"/>
      <c r="M7" s="447"/>
      <c r="N7" s="447"/>
      <c r="O7" s="447"/>
      <c r="P7" s="2255"/>
      <c r="Q7" s="2255">
        <v>1</v>
      </c>
      <c r="R7" s="294"/>
      <c r="S7" s="972"/>
      <c r="T7" s="1326"/>
      <c r="U7" s="1311"/>
      <c r="V7" s="2292"/>
      <c r="W7" s="2292"/>
      <c r="X7" s="2292"/>
      <c r="Y7" s="2292"/>
      <c r="Z7" s="2292"/>
      <c r="AA7" s="2292"/>
      <c r="AB7" s="2292"/>
      <c r="AC7" s="2293"/>
      <c r="AD7" s="2291"/>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3"/>
      <c r="BC7" s="1312"/>
      <c r="BE7" s="437"/>
      <c r="BF7" s="437" t="str">
        <f t="shared" si="0"/>
        <v/>
      </c>
      <c r="BG7" s="437"/>
      <c r="BH7" s="437"/>
      <c r="BI7" s="448">
        <v>0</v>
      </c>
    </row>
    <row r="8" spans="1:61" ht="11.25" hidden="1" customHeight="1">
      <c r="A8" s="1290"/>
      <c r="B8" s="1290"/>
      <c r="C8" s="1290"/>
      <c r="D8" s="1290"/>
      <c r="E8" s="2252"/>
      <c r="F8" s="2252"/>
      <c r="G8" s="2252"/>
      <c r="H8" s="2252"/>
      <c r="I8" s="2254"/>
      <c r="J8" s="2254"/>
      <c r="K8" s="2253" t="e">
        <f>S4&amp;".1"</f>
        <v>#N/A</v>
      </c>
      <c r="L8" s="1291"/>
      <c r="P8" s="2255"/>
      <c r="Q8" s="2255"/>
      <c r="R8" s="2320">
        <v>1</v>
      </c>
      <c r="S8" s="2317" t="e">
        <f>$K8</f>
        <v>#N/A</v>
      </c>
      <c r="T8" s="2339"/>
      <c r="U8" s="238"/>
      <c r="V8" s="688"/>
      <c r="W8" s="1184"/>
      <c r="X8" s="688"/>
      <c r="Y8" s="1184"/>
      <c r="Z8" s="1660"/>
      <c r="AA8" s="1386" t="s">
        <v>66</v>
      </c>
      <c r="AB8" s="1660"/>
      <c r="AC8" s="1386" t="s">
        <v>66</v>
      </c>
      <c r="AD8" s="2176" t="s">
        <v>66</v>
      </c>
      <c r="AE8" s="2313"/>
      <c r="AF8" s="2208">
        <v>1</v>
      </c>
      <c r="AG8" s="2338"/>
      <c r="AH8" s="2126" t="s">
        <v>66</v>
      </c>
      <c r="AI8" s="2313"/>
      <c r="AJ8" s="2208">
        <v>1</v>
      </c>
      <c r="AK8" s="2327" t="s">
        <v>28</v>
      </c>
      <c r="AL8" s="2126" t="s">
        <v>66</v>
      </c>
      <c r="AM8" s="2185"/>
      <c r="AN8" s="2208">
        <v>1</v>
      </c>
      <c r="AO8" s="2342"/>
      <c r="AP8" s="2343" t="s">
        <v>66</v>
      </c>
      <c r="AQ8" s="249"/>
      <c r="AR8" s="1390">
        <v>1</v>
      </c>
      <c r="AS8" s="1393" t="s">
        <v>28</v>
      </c>
      <c r="AT8" s="688"/>
      <c r="AU8" s="1184"/>
      <c r="AV8" s="688"/>
      <c r="AW8" s="1184"/>
      <c r="AX8" s="1660"/>
      <c r="AY8" s="1386" t="s">
        <v>66</v>
      </c>
      <c r="AZ8" s="1660"/>
      <c r="BA8" s="1386" t="s">
        <v>66</v>
      </c>
      <c r="BB8" s="1275"/>
      <c r="BC8" s="2274" t="s">
        <v>514</v>
      </c>
      <c r="BE8" s="437"/>
      <c r="BF8" s="437" t="str">
        <f t="shared" si="0"/>
        <v/>
      </c>
      <c r="BG8" s="437"/>
      <c r="BH8" s="437"/>
      <c r="BI8" s="1082">
        <v>0</v>
      </c>
    </row>
    <row r="9" spans="1:61" ht="11.25" hidden="1" customHeight="1">
      <c r="A9" s="1290"/>
      <c r="B9" s="1290"/>
      <c r="C9" s="1290"/>
      <c r="D9" s="1290"/>
      <c r="E9" s="2252"/>
      <c r="F9" s="2252"/>
      <c r="G9" s="2252"/>
      <c r="H9" s="2252"/>
      <c r="I9" s="2254"/>
      <c r="J9" s="2254"/>
      <c r="K9" s="2253"/>
      <c r="L9" s="1291"/>
      <c r="P9" s="2255"/>
      <c r="Q9" s="2255"/>
      <c r="R9" s="2320"/>
      <c r="S9" s="2318"/>
      <c r="T9" s="2340"/>
      <c r="U9" s="238"/>
      <c r="V9" s="1320"/>
      <c r="W9" s="1423"/>
      <c r="X9" s="1320"/>
      <c r="Y9" s="1423"/>
      <c r="Z9" s="1320"/>
      <c r="AA9" s="1320"/>
      <c r="AB9" s="1320"/>
      <c r="AC9" s="1320"/>
      <c r="AD9" s="2177"/>
      <c r="AE9" s="2313"/>
      <c r="AF9" s="2208"/>
      <c r="AG9" s="2338"/>
      <c r="AH9" s="2126"/>
      <c r="AI9" s="2313"/>
      <c r="AJ9" s="2208"/>
      <c r="AK9" s="2327"/>
      <c r="AL9" s="2126"/>
      <c r="AM9" s="2190"/>
      <c r="AN9" s="2208"/>
      <c r="AO9" s="2342"/>
      <c r="AP9" s="2344"/>
      <c r="AQ9" s="254"/>
      <c r="AR9" s="353"/>
      <c r="AS9" s="353" t="s">
        <v>515</v>
      </c>
      <c r="AT9" s="1320"/>
      <c r="AU9" s="1423"/>
      <c r="AV9" s="1320"/>
      <c r="AW9" s="1423"/>
      <c r="AX9" s="1320"/>
      <c r="AY9" s="1320"/>
      <c r="AZ9" s="1320"/>
      <c r="BA9" s="1320"/>
      <c r="BB9" s="1324"/>
      <c r="BC9" s="2275"/>
      <c r="BE9" s="437"/>
      <c r="BF9" s="437"/>
      <c r="BG9" s="437"/>
      <c r="BH9" s="437"/>
      <c r="BI9" s="1082">
        <v>0</v>
      </c>
    </row>
    <row r="10" spans="1:61" ht="11.25" hidden="1" customHeight="1">
      <c r="A10" s="1290"/>
      <c r="B10" s="1290"/>
      <c r="C10" s="1290"/>
      <c r="D10" s="1290"/>
      <c r="E10" s="2252"/>
      <c r="F10" s="2252"/>
      <c r="G10" s="2252"/>
      <c r="H10" s="2252"/>
      <c r="I10" s="2254"/>
      <c r="J10" s="2254"/>
      <c r="K10" s="2253"/>
      <c r="L10" s="1291"/>
      <c r="P10" s="2255"/>
      <c r="Q10" s="2255"/>
      <c r="R10" s="2320"/>
      <c r="S10" s="2318"/>
      <c r="T10" s="2340"/>
      <c r="U10" s="238"/>
      <c r="V10" s="1320"/>
      <c r="W10" s="1423"/>
      <c r="X10" s="1320"/>
      <c r="Y10" s="1423"/>
      <c r="Z10" s="1320"/>
      <c r="AA10" s="1320"/>
      <c r="AB10" s="1320"/>
      <c r="AC10" s="1320"/>
      <c r="AD10" s="2177"/>
      <c r="AE10" s="2313"/>
      <c r="AF10" s="2208"/>
      <c r="AG10" s="2338"/>
      <c r="AH10" s="2126"/>
      <c r="AI10" s="2313"/>
      <c r="AJ10" s="2208"/>
      <c r="AK10" s="2327"/>
      <c r="AL10" s="2126"/>
      <c r="AM10" s="254"/>
      <c r="AN10" s="1427"/>
      <c r="AO10" s="1427" t="s">
        <v>516</v>
      </c>
      <c r="AP10" s="353"/>
      <c r="AQ10" s="353"/>
      <c r="AR10" s="353"/>
      <c r="AS10" s="1320"/>
      <c r="AT10" s="1320"/>
      <c r="AU10" s="1423"/>
      <c r="AV10" s="1320"/>
      <c r="AW10" s="1423"/>
      <c r="AX10" s="1320"/>
      <c r="AY10" s="1320"/>
      <c r="AZ10" s="1320"/>
      <c r="BA10" s="1320"/>
      <c r="BB10" s="1324"/>
      <c r="BC10" s="2275"/>
      <c r="BE10" s="437"/>
      <c r="BF10" s="437"/>
      <c r="BG10" s="437"/>
      <c r="BH10" s="437"/>
      <c r="BI10" s="1082">
        <v>0</v>
      </c>
    </row>
    <row r="11" spans="1:61" ht="11.25" hidden="1" customHeight="1">
      <c r="A11" s="1290"/>
      <c r="B11" s="1290"/>
      <c r="C11" s="1290"/>
      <c r="D11" s="1290"/>
      <c r="E11" s="2252"/>
      <c r="F11" s="2252"/>
      <c r="G11" s="2252"/>
      <c r="H11" s="2252"/>
      <c r="I11" s="2254"/>
      <c r="J11" s="2254"/>
      <c r="K11" s="2253"/>
      <c r="L11" s="1291"/>
      <c r="P11" s="2255"/>
      <c r="Q11" s="2255"/>
      <c r="R11" s="2320"/>
      <c r="S11" s="2318"/>
      <c r="T11" s="2340"/>
      <c r="U11" s="238"/>
      <c r="V11" s="1320"/>
      <c r="W11" s="1423"/>
      <c r="X11" s="1320"/>
      <c r="Y11" s="1423"/>
      <c r="Z11" s="1320"/>
      <c r="AA11" s="1320"/>
      <c r="AB11" s="1320"/>
      <c r="AC11" s="1320"/>
      <c r="AD11" s="2177"/>
      <c r="AE11" s="2313"/>
      <c r="AF11" s="2208"/>
      <c r="AG11" s="2338"/>
      <c r="AH11" s="2126"/>
      <c r="AI11" s="232"/>
      <c r="AJ11" s="352"/>
      <c r="AK11" s="251" t="s">
        <v>517</v>
      </c>
      <c r="AL11" s="1320"/>
      <c r="AM11" s="1320"/>
      <c r="AN11" s="1320"/>
      <c r="AO11" s="1320"/>
      <c r="AP11" s="1320"/>
      <c r="AQ11" s="1320"/>
      <c r="AR11" s="1320"/>
      <c r="AS11" s="1320"/>
      <c r="AT11" s="1320"/>
      <c r="AU11" s="1423"/>
      <c r="AV11" s="1320"/>
      <c r="AW11" s="1423"/>
      <c r="AX11" s="1320"/>
      <c r="AY11" s="1320"/>
      <c r="AZ11" s="1320"/>
      <c r="BA11" s="1320"/>
      <c r="BB11" s="1324"/>
      <c r="BC11" s="2275"/>
      <c r="BE11" s="437"/>
      <c r="BF11" s="437"/>
      <c r="BG11" s="437"/>
      <c r="BH11" s="437"/>
      <c r="BI11" s="1082">
        <v>0</v>
      </c>
    </row>
    <row r="12" spans="1:61" ht="11.25" hidden="1" customHeight="1">
      <c r="A12" s="1290"/>
      <c r="B12" s="1290"/>
      <c r="C12" s="1290"/>
      <c r="D12" s="1290"/>
      <c r="E12" s="2252"/>
      <c r="F12" s="2252"/>
      <c r="G12" s="2252"/>
      <c r="H12" s="2252"/>
      <c r="I12" s="2254"/>
      <c r="J12" s="2254"/>
      <c r="K12" s="2253"/>
      <c r="L12" s="1291"/>
      <c r="P12" s="2255"/>
      <c r="Q12" s="2255"/>
      <c r="R12" s="2320"/>
      <c r="S12" s="2319"/>
      <c r="T12" s="2341"/>
      <c r="U12" s="238"/>
      <c r="V12" s="1320"/>
      <c r="W12" s="1321" t="str">
        <f>Z8&amp;"-"&amp;AB8</f>
        <v>-</v>
      </c>
      <c r="X12" s="1320"/>
      <c r="Y12" s="1321" t="str">
        <f>AB8&amp;"-"&amp;AD8</f>
        <v>-да</v>
      </c>
      <c r="Z12" s="1320"/>
      <c r="AA12" s="1320"/>
      <c r="AB12" s="1320"/>
      <c r="AC12" s="1320"/>
      <c r="AD12" s="2131"/>
      <c r="AE12" s="250"/>
      <c r="AF12" s="252"/>
      <c r="AG12" s="353" t="s">
        <v>518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75"/>
      <c r="BE12" s="437"/>
      <c r="BF12" s="437" t="str">
        <f t="shared" ref="BF12:BF18" si="1">IF(T12="","",T12)</f>
        <v/>
      </c>
      <c r="BG12" s="437"/>
      <c r="BH12" s="437"/>
      <c r="BI12" s="1082">
        <v>0</v>
      </c>
    </row>
    <row r="13" spans="1:61" ht="11.25" hidden="1" customHeight="1">
      <c r="A13" s="1290"/>
      <c r="B13" s="1290"/>
      <c r="C13" s="1290"/>
      <c r="D13" s="1290"/>
      <c r="E13" s="2252"/>
      <c r="F13" s="2252"/>
      <c r="G13" s="2252"/>
      <c r="H13" s="2252"/>
      <c r="I13" s="2254"/>
      <c r="J13" s="2253"/>
      <c r="K13" s="1290"/>
      <c r="L13" s="1291"/>
      <c r="P13" s="2255"/>
      <c r="Q13" s="225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76"/>
      <c r="BE13" s="437"/>
      <c r="BF13" s="437" t="str">
        <f t="shared" si="1"/>
        <v>Добавить строку</v>
      </c>
      <c r="BG13" s="437"/>
      <c r="BH13" s="437"/>
      <c r="BI13" s="1082">
        <v>0</v>
      </c>
    </row>
    <row r="14" spans="1:61" s="1569" customFormat="1" ht="14.25" hidden="1" customHeight="1">
      <c r="A14" s="1270"/>
      <c r="B14" s="1270"/>
      <c r="C14" s="1270"/>
      <c r="D14" s="1270"/>
      <c r="E14" s="2252"/>
      <c r="F14" s="2252"/>
      <c r="G14" s="2252"/>
      <c r="H14" s="2252"/>
      <c r="I14" s="2253"/>
      <c r="J14" s="1270"/>
      <c r="K14" s="1270"/>
      <c r="L14" s="1273"/>
      <c r="M14" s="447"/>
      <c r="N14" s="447"/>
      <c r="O14" s="447"/>
      <c r="P14" s="225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52"/>
      <c r="F15" s="2252"/>
      <c r="G15" s="2252"/>
      <c r="H15" s="225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52"/>
      <c r="F16" s="2252"/>
      <c r="G16" s="225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52"/>
      <c r="F17" s="2251"/>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51"/>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519</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3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70"/>
      <c r="BI28" s="1082">
        <v>14</v>
      </c>
    </row>
    <row r="29" spans="1:61" ht="14.65" customHeight="1">
      <c r="Q29" s="229"/>
      <c r="R29" s="313"/>
      <c r="S29" s="2204" t="str">
        <f>IF(org=0,"Не определено",org)</f>
        <v>ООО ПКФ "Энергетик-2001"</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42" t="s">
        <v>42</v>
      </c>
      <c r="T31" s="2242"/>
      <c r="U31" s="1299"/>
      <c r="V31" s="2244" t="str">
        <f>IF(TITLE_NAME_OR_PR_CHANGE="",IF(TITLE_NAME_OR_PR="","",TITLE_NAME_OR_PR),TITLE_NAME_OR_PR_CHANGE)</f>
        <v/>
      </c>
      <c r="W31" s="2244"/>
      <c r="X31" s="2244"/>
      <c r="Y31" s="2244"/>
      <c r="Z31" s="2244"/>
      <c r="AA31" s="2244"/>
      <c r="AB31" s="2244"/>
      <c r="AC31" s="264"/>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42" t="s">
        <v>426</v>
      </c>
      <c r="T32" s="2242"/>
      <c r="U32" s="1299"/>
      <c r="V32" s="2243">
        <f>IF(TITLE_DATE_PR_CHANGE="",IF(TITLE_DATE_PR="","",TITLE_DATE_PR),TITLE_DATE_PR_CHANGE)</f>
        <v>45777</v>
      </c>
      <c r="W32" s="2243"/>
      <c r="X32" s="2243"/>
      <c r="Y32" s="2243"/>
      <c r="Z32" s="2243"/>
      <c r="AA32" s="2243"/>
      <c r="AB32" s="2243"/>
      <c r="AC32" s="264"/>
      <c r="AD32" s="2243">
        <f>IF(TITLE_DATE_PR_CHANGE="",IF(TITLE_DATE_PR="","",TITLE_DATE_PR),TITLE_DATE_PR_CHANGE)</f>
        <v>45777</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42" t="s">
        <v>427</v>
      </c>
      <c r="T33" s="2242"/>
      <c r="U33" s="1299"/>
      <c r="V33" s="2244" t="str">
        <f>IF(TITLE_NUMBER_PR_CHANGE="",IF(TITLE_NUMBER_PR="","",TITLE_NUMBER_PR),TITLE_NUMBER_PR_CHANGE)</f>
        <v>466</v>
      </c>
      <c r="W33" s="2244"/>
      <c r="X33" s="2244"/>
      <c r="Y33" s="2244"/>
      <c r="Z33" s="2244"/>
      <c r="AA33" s="2244"/>
      <c r="AB33" s="2244"/>
      <c r="AC33" s="264"/>
      <c r="AD33" s="2244" t="str">
        <f>IF(TITLE_NUMBER_PR_CHANGE="",IF(TITLE_NUMBER_PR="","",TITLE_NUMBER_PR),TITLE_NUMBER_PR_CHANGE)</f>
        <v>466</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42" t="s">
        <v>43</v>
      </c>
      <c r="T34" s="2242"/>
      <c r="U34" s="1299"/>
      <c r="V34" s="2244" t="str">
        <f>IF(TITLE_IST_PUB_CHANGE="",IF(TITLE_IST_PUB="","",TITLE_IST_PUB),TITLE_IST_PUB_CHANGE)</f>
        <v/>
      </c>
      <c r="W34" s="2244"/>
      <c r="X34" s="2244"/>
      <c r="Y34" s="2244"/>
      <c r="Z34" s="2244"/>
      <c r="AA34" s="2244"/>
      <c r="AB34" s="2244"/>
      <c r="AC34" s="264"/>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42" t="s">
        <v>426</v>
      </c>
      <c r="T36" s="2242"/>
      <c r="U36" s="1299"/>
      <c r="V36" s="2243">
        <f>IF(TITLE_DATE_PR_CHANGE="",IF(TITLE_DATE_PR="","",TITLE_DATE_PR),TITLE_DATE_PR_CHANGE)</f>
        <v>45777</v>
      </c>
      <c r="W36" s="2243"/>
      <c r="X36" s="2243"/>
      <c r="Y36" s="2243"/>
      <c r="Z36" s="2243"/>
      <c r="AA36" s="2243"/>
      <c r="AB36" s="2243"/>
      <c r="AC36" s="264"/>
      <c r="AD36" s="2243">
        <f>IF(TITLE_DATE_PR_CHANGE="",IF(TITLE_DATE_PR="","",TITLE_DATE_PR),TITLE_DATE_PR_CHANGE)</f>
        <v>45777</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42" t="s">
        <v>427</v>
      </c>
      <c r="T37" s="2242"/>
      <c r="U37" s="1299"/>
      <c r="V37" s="2244" t="str">
        <f>IF(TITLE_NUMBER_PR_CHANGE="",IF(TITLE_NUMBER_PR="","",TITLE_NUMBER_PR),TITLE_NUMBER_PR_CHANGE)</f>
        <v>466</v>
      </c>
      <c r="W37" s="2244"/>
      <c r="X37" s="2244"/>
      <c r="Y37" s="2244"/>
      <c r="Z37" s="2244"/>
      <c r="AA37" s="2244"/>
      <c r="AB37" s="2244"/>
      <c r="AC37" s="264"/>
      <c r="AD37" s="2244" t="str">
        <f>IF(TITLE_NUMBER_PR_CHANGE="",IF(TITLE_NUMBER_PR="","",TITLE_NUMBER_PR),TITLE_NUMBER_PR_CHANGE)</f>
        <v>466</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82">
        <v>14</v>
      </c>
    </row>
    <row r="40" spans="1:61" ht="14.65" customHeight="1">
      <c r="Q40" s="229"/>
      <c r="R40" s="313"/>
      <c r="S40" s="2116" t="s">
        <v>306</v>
      </c>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t="s">
        <v>307</v>
      </c>
      <c r="BI40" s="1082">
        <v>14</v>
      </c>
    </row>
    <row r="41" spans="1:61" ht="14.65" customHeight="1">
      <c r="Q41" s="229"/>
      <c r="R41" s="313"/>
      <c r="S41" s="2264" t="s">
        <v>88</v>
      </c>
      <c r="T41" s="2212" t="s">
        <v>520</v>
      </c>
      <c r="U41" s="239"/>
      <c r="V41" s="2265" t="s">
        <v>432</v>
      </c>
      <c r="W41" s="2266"/>
      <c r="X41" s="2266"/>
      <c r="Y41" s="2266"/>
      <c r="Z41" s="2266"/>
      <c r="AA41" s="2266"/>
      <c r="AB41" s="2267"/>
      <c r="AC41" s="2268" t="s">
        <v>433</v>
      </c>
      <c r="AD41" s="2306" t="s">
        <v>521</v>
      </c>
      <c r="AE41" s="2290"/>
      <c r="AF41" s="2290"/>
      <c r="AG41" s="2307"/>
      <c r="AH41" s="2306" t="s">
        <v>522</v>
      </c>
      <c r="AI41" s="2290"/>
      <c r="AJ41" s="2290"/>
      <c r="AK41" s="2307"/>
      <c r="AL41" s="2306" t="s">
        <v>523</v>
      </c>
      <c r="AM41" s="2290"/>
      <c r="AN41" s="2290"/>
      <c r="AO41" s="2307"/>
      <c r="AP41" s="2306" t="s">
        <v>524</v>
      </c>
      <c r="AQ41" s="2290"/>
      <c r="AR41" s="2290"/>
      <c r="AS41" s="2307"/>
      <c r="AT41" s="2265" t="s">
        <v>432</v>
      </c>
      <c r="AU41" s="2266"/>
      <c r="AV41" s="2266"/>
      <c r="AW41" s="2266"/>
      <c r="AX41" s="2266"/>
      <c r="AY41" s="2266"/>
      <c r="AZ41" s="2267"/>
      <c r="BA41" s="2268" t="s">
        <v>433</v>
      </c>
      <c r="BB41" s="2271" t="s">
        <v>435</v>
      </c>
      <c r="BC41" s="2116"/>
      <c r="BI41" s="1082">
        <v>14</v>
      </c>
    </row>
    <row r="42" spans="1:61" ht="35.65" customHeight="1">
      <c r="Q42" s="229"/>
      <c r="R42" s="313"/>
      <c r="S42" s="2264"/>
      <c r="T42" s="2212"/>
      <c r="U42" s="961"/>
      <c r="V42" s="2185" t="s">
        <v>525</v>
      </c>
      <c r="W42" s="2186"/>
      <c r="X42" s="2185" t="s">
        <v>526</v>
      </c>
      <c r="Y42" s="2186"/>
      <c r="Z42" s="2185" t="s">
        <v>527</v>
      </c>
      <c r="AA42" s="2302"/>
      <c r="AB42" s="2186"/>
      <c r="AC42" s="2269"/>
      <c r="AD42" s="2308"/>
      <c r="AE42" s="2309"/>
      <c r="AF42" s="2309"/>
      <c r="AG42" s="2321"/>
      <c r="AH42" s="2308"/>
      <c r="AI42" s="2309"/>
      <c r="AJ42" s="2309"/>
      <c r="AK42" s="2321"/>
      <c r="AL42" s="2308"/>
      <c r="AM42" s="2309"/>
      <c r="AN42" s="2309"/>
      <c r="AO42" s="2321"/>
      <c r="AP42" s="2308"/>
      <c r="AQ42" s="2309"/>
      <c r="AR42" s="2309"/>
      <c r="AS42" s="2321"/>
      <c r="AT42" s="2185" t="s">
        <v>525</v>
      </c>
      <c r="AU42" s="2186"/>
      <c r="AV42" s="2185" t="s">
        <v>526</v>
      </c>
      <c r="AW42" s="2186"/>
      <c r="AX42" s="2185" t="s">
        <v>527</v>
      </c>
      <c r="AY42" s="2302"/>
      <c r="AZ42" s="2186"/>
      <c r="BA42" s="2269"/>
      <c r="BB42" s="2272"/>
      <c r="BC42" s="2116"/>
      <c r="BI42" s="1082">
        <v>34</v>
      </c>
    </row>
    <row r="43" spans="1:61" ht="14.65" customHeight="1">
      <c r="Q43" s="229"/>
      <c r="R43" s="313"/>
      <c r="S43" s="2264"/>
      <c r="T43" s="2212"/>
      <c r="U43" s="961"/>
      <c r="V43" s="2190"/>
      <c r="W43" s="2191"/>
      <c r="X43" s="2190"/>
      <c r="Y43" s="2191"/>
      <c r="Z43" s="2190"/>
      <c r="AA43" s="2303"/>
      <c r="AB43" s="2191"/>
      <c r="AC43" s="2269"/>
      <c r="AD43" s="2308"/>
      <c r="AE43" s="2309"/>
      <c r="AF43" s="2309"/>
      <c r="AG43" s="2321"/>
      <c r="AH43" s="2308"/>
      <c r="AI43" s="2309"/>
      <c r="AJ43" s="2309"/>
      <c r="AK43" s="2321"/>
      <c r="AL43" s="2308"/>
      <c r="AM43" s="2309"/>
      <c r="AN43" s="2309"/>
      <c r="AO43" s="2321"/>
      <c r="AP43" s="2308"/>
      <c r="AQ43" s="2309"/>
      <c r="AR43" s="2309"/>
      <c r="AS43" s="2321"/>
      <c r="AT43" s="2190"/>
      <c r="AU43" s="2191"/>
      <c r="AV43" s="2190"/>
      <c r="AW43" s="2191"/>
      <c r="AX43" s="2190"/>
      <c r="AY43" s="2303"/>
      <c r="AZ43" s="2191"/>
      <c r="BA43" s="2269"/>
      <c r="BB43" s="2272"/>
      <c r="BC43" s="2116"/>
      <c r="BI43" s="1082">
        <v>14</v>
      </c>
    </row>
    <row r="44" spans="1:61" ht="14.65" customHeight="1">
      <c r="A44" s="1297"/>
      <c r="B44" s="1297" t="s">
        <v>136</v>
      </c>
      <c r="C44" s="1297" t="s">
        <v>137</v>
      </c>
      <c r="D44" s="1297" t="s">
        <v>138</v>
      </c>
      <c r="E44" s="1291" t="s">
        <v>440</v>
      </c>
      <c r="F44" s="1291" t="s">
        <v>441</v>
      </c>
      <c r="G44" s="1291" t="s">
        <v>442</v>
      </c>
      <c r="H44" s="1291" t="s">
        <v>443</v>
      </c>
      <c r="I44" s="1291" t="s">
        <v>444</v>
      </c>
      <c r="J44" s="1291" t="s">
        <v>445</v>
      </c>
      <c r="K44" s="1291" t="s">
        <v>446</v>
      </c>
      <c r="L44" s="1291" t="s">
        <v>421</v>
      </c>
      <c r="Q44" s="229"/>
      <c r="R44" s="313"/>
      <c r="S44" s="2264"/>
      <c r="T44" s="2212"/>
      <c r="U44" s="240"/>
      <c r="V44" s="1375" t="s">
        <v>484</v>
      </c>
      <c r="W44" s="1375" t="s">
        <v>485</v>
      </c>
      <c r="X44" s="1375" t="s">
        <v>484</v>
      </c>
      <c r="Y44" s="1375" t="s">
        <v>485</v>
      </c>
      <c r="Z44" s="1382" t="s">
        <v>449</v>
      </c>
      <c r="AA44" s="2217" t="s">
        <v>450</v>
      </c>
      <c r="AB44" s="2231"/>
      <c r="AC44" s="2270"/>
      <c r="AD44" s="2310"/>
      <c r="AE44" s="2311"/>
      <c r="AF44" s="2311"/>
      <c r="AG44" s="2312"/>
      <c r="AH44" s="2310"/>
      <c r="AI44" s="2311"/>
      <c r="AJ44" s="2311"/>
      <c r="AK44" s="2312"/>
      <c r="AL44" s="2310"/>
      <c r="AM44" s="2311"/>
      <c r="AN44" s="2311"/>
      <c r="AO44" s="2312"/>
      <c r="AP44" s="2310"/>
      <c r="AQ44" s="2311"/>
      <c r="AR44" s="2311"/>
      <c r="AS44" s="2312"/>
      <c r="AT44" s="1375" t="s">
        <v>484</v>
      </c>
      <c r="AU44" s="1375" t="s">
        <v>485</v>
      </c>
      <c r="AV44" s="1375" t="s">
        <v>484</v>
      </c>
      <c r="AW44" s="1375" t="s">
        <v>485</v>
      </c>
      <c r="AX44" s="1382" t="s">
        <v>449</v>
      </c>
      <c r="AY44" s="2217" t="s">
        <v>450</v>
      </c>
      <c r="AZ44" s="2231"/>
      <c r="BA44" s="2270"/>
      <c r="BB44" s="2273"/>
      <c r="BC44" s="211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62">
        <f t="shared" ca="1" si="2"/>
        <v>8</v>
      </c>
      <c r="AB45" s="226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62">
        <f ca="1">OFFSET(AY45,0,-1)+1</f>
        <v>3</v>
      </c>
      <c r="AZ45" s="2262"/>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51">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52"/>
      <c r="F47" s="2251">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52"/>
      <c r="F48" s="2252"/>
      <c r="G48" s="2251">
        <v>1</v>
      </c>
      <c r="H48" s="1290"/>
      <c r="I48" s="1290"/>
      <c r="J48" s="1290"/>
      <c r="K48" s="1290"/>
      <c r="L48" s="1291"/>
      <c r="M48" s="1292"/>
      <c r="N48" s="1292"/>
      <c r="O48" s="1292"/>
      <c r="P48" s="1339"/>
      <c r="Q48" s="1338"/>
      <c r="R48" s="290"/>
      <c r="S48" s="1384" t="str">
        <f>INDEX(PT_DIFFERENTIATION_NUM_CS,MATCH(C48,PT_DIFFERENTIATION_CS_ID,0))</f>
        <v>..</v>
      </c>
      <c r="T48" s="247" t="s">
        <v>494</v>
      </c>
      <c r="U48" s="238"/>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85" t="s">
        <v>495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528</v>
      </c>
      <c r="E49" s="2252"/>
      <c r="F49" s="2252"/>
      <c r="G49" s="2252"/>
      <c r="H49" s="2251">
        <v>1</v>
      </c>
      <c r="I49" s="1270"/>
      <c r="J49" s="1270"/>
      <c r="K49" s="1270"/>
      <c r="L49" s="1273"/>
      <c r="M49" s="1242"/>
      <c r="N49" s="1242"/>
      <c r="O49" s="1242"/>
      <c r="P49" s="1424"/>
      <c r="Q49" s="1425"/>
      <c r="R49" s="294"/>
      <c r="S49" s="972"/>
      <c r="T49" s="1426"/>
      <c r="U49" s="1311"/>
      <c r="V49" s="2292"/>
      <c r="W49" s="2292"/>
      <c r="X49" s="2292"/>
      <c r="Y49" s="2292"/>
      <c r="Z49" s="2292"/>
      <c r="AA49" s="2292"/>
      <c r="AB49" s="2292"/>
      <c r="AC49" s="2293"/>
      <c r="AD49" s="2291"/>
      <c r="AE49" s="2292"/>
      <c r="AF49" s="2292"/>
      <c r="AG49" s="2292"/>
      <c r="AH49" s="2292"/>
      <c r="AI49" s="2292"/>
      <c r="AJ49" s="2292"/>
      <c r="AK49" s="2292"/>
      <c r="AL49" s="2292"/>
      <c r="AM49" s="2292"/>
      <c r="AN49" s="2292"/>
      <c r="AO49" s="2292"/>
      <c r="AP49" s="2292"/>
      <c r="AQ49" s="2292"/>
      <c r="AR49" s="2292"/>
      <c r="AS49" s="2292"/>
      <c r="AT49" s="2292"/>
      <c r="AU49" s="2292"/>
      <c r="AV49" s="2292"/>
      <c r="AW49" s="2292"/>
      <c r="AX49" s="2292"/>
      <c r="AY49" s="2292"/>
      <c r="AZ49" s="2292"/>
      <c r="BA49" s="2292"/>
      <c r="BB49" s="2293"/>
      <c r="BC49" s="1312" t="s">
        <v>408</v>
      </c>
      <c r="BE49" s="437"/>
      <c r="BF49" s="437" t="str">
        <f t="shared" si="3"/>
        <v/>
      </c>
      <c r="BG49" s="437"/>
      <c r="BH49" s="437"/>
      <c r="BI49" s="448">
        <v>0</v>
      </c>
    </row>
    <row r="50" spans="1:61" s="1569" customFormat="1" ht="0" hidden="1" customHeight="1">
      <c r="A50" s="1270" t="s">
        <v>252</v>
      </c>
      <c r="B50" s="1270" t="s">
        <v>253</v>
      </c>
      <c r="C50" s="1270" t="s">
        <v>254</v>
      </c>
      <c r="D50" s="1270" t="s">
        <v>528</v>
      </c>
      <c r="E50" s="2252"/>
      <c r="F50" s="2252"/>
      <c r="G50" s="2252"/>
      <c r="H50" s="2252"/>
      <c r="I50" s="2253" t="str">
        <f>S49&amp;".1"</f>
        <v>.1</v>
      </c>
      <c r="J50" s="1270"/>
      <c r="K50" s="1270"/>
      <c r="L50" s="1273" t="s">
        <v>409</v>
      </c>
      <c r="M50" s="447"/>
      <c r="N50" s="447"/>
      <c r="O50" s="447"/>
      <c r="P50" s="2255">
        <v>1</v>
      </c>
      <c r="Q50" s="1389"/>
      <c r="R50" s="293"/>
      <c r="S50" s="972"/>
      <c r="T50" s="1310"/>
      <c r="U50" s="1311"/>
      <c r="V50" s="2292"/>
      <c r="W50" s="2292"/>
      <c r="X50" s="2292"/>
      <c r="Y50" s="2292"/>
      <c r="Z50" s="2292"/>
      <c r="AA50" s="2292"/>
      <c r="AB50" s="2292"/>
      <c r="AC50" s="2293"/>
      <c r="AD50" s="2291"/>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3"/>
      <c r="BC50" s="1312"/>
      <c r="BE50" s="437"/>
      <c r="BF50" s="437" t="str">
        <f t="shared" si="3"/>
        <v/>
      </c>
      <c r="BG50" s="437"/>
      <c r="BH50" s="437"/>
      <c r="BI50" s="448">
        <v>0</v>
      </c>
    </row>
    <row r="51" spans="1:61" s="1569" customFormat="1" ht="0" hidden="1" customHeight="1">
      <c r="A51" s="1270" t="s">
        <v>252</v>
      </c>
      <c r="B51" s="1270" t="s">
        <v>253</v>
      </c>
      <c r="C51" s="1270" t="s">
        <v>254</v>
      </c>
      <c r="D51" s="1270" t="s">
        <v>528</v>
      </c>
      <c r="E51" s="2252"/>
      <c r="F51" s="2252"/>
      <c r="G51" s="2252"/>
      <c r="H51" s="2252"/>
      <c r="I51" s="2254"/>
      <c r="J51" s="2253" t="str">
        <f>S49&amp;".1"</f>
        <v>.1</v>
      </c>
      <c r="K51" s="1270"/>
      <c r="L51" s="1273"/>
      <c r="M51" s="447"/>
      <c r="N51" s="447"/>
      <c r="O51" s="447"/>
      <c r="P51" s="2255"/>
      <c r="Q51" s="2255">
        <v>1</v>
      </c>
      <c r="R51" s="294"/>
      <c r="S51" s="972"/>
      <c r="T51" s="1326"/>
      <c r="U51" s="1311"/>
      <c r="V51" s="2292"/>
      <c r="W51" s="2292"/>
      <c r="X51" s="2292"/>
      <c r="Y51" s="2292"/>
      <c r="Z51" s="2292"/>
      <c r="AA51" s="2292"/>
      <c r="AB51" s="2292"/>
      <c r="AC51" s="2293"/>
      <c r="AD51" s="2291"/>
      <c r="AE51" s="2292"/>
      <c r="AF51" s="2292"/>
      <c r="AG51" s="2292"/>
      <c r="AH51" s="2292"/>
      <c r="AI51" s="2292"/>
      <c r="AJ51" s="2292"/>
      <c r="AK51" s="2292"/>
      <c r="AL51" s="2292"/>
      <c r="AM51" s="2292"/>
      <c r="AN51" s="2345"/>
      <c r="AO51" s="2345"/>
      <c r="AP51" s="2292"/>
      <c r="AQ51" s="2292"/>
      <c r="AR51" s="2292"/>
      <c r="AS51" s="2292"/>
      <c r="AT51" s="2292"/>
      <c r="AU51" s="2292"/>
      <c r="AV51" s="2292"/>
      <c r="AW51" s="2292"/>
      <c r="AX51" s="2292"/>
      <c r="AY51" s="2292"/>
      <c r="AZ51" s="2292"/>
      <c r="BA51" s="2292"/>
      <c r="BB51" s="2293"/>
      <c r="BC51" s="1312"/>
      <c r="BE51" s="437"/>
      <c r="BF51" s="437" t="str">
        <f t="shared" si="3"/>
        <v/>
      </c>
      <c r="BG51" s="437"/>
      <c r="BH51" s="437"/>
      <c r="BI51" s="448">
        <v>0</v>
      </c>
    </row>
    <row r="52" spans="1:61" ht="11.45" customHeight="1">
      <c r="A52" s="1290" t="s">
        <v>252</v>
      </c>
      <c r="B52" s="1290" t="s">
        <v>253</v>
      </c>
      <c r="C52" s="1290" t="s">
        <v>254</v>
      </c>
      <c r="D52" s="1290" t="s">
        <v>528</v>
      </c>
      <c r="E52" s="2252"/>
      <c r="F52" s="2252"/>
      <c r="G52" s="2252"/>
      <c r="H52" s="2252"/>
      <c r="I52" s="2254"/>
      <c r="J52" s="2254"/>
      <c r="K52" s="2253" t="str">
        <f>S48&amp;".1"</f>
        <v>...1</v>
      </c>
      <c r="L52" s="1291"/>
      <c r="P52" s="2255"/>
      <c r="Q52" s="2255"/>
      <c r="R52" s="294">
        <v>1</v>
      </c>
      <c r="S52" s="2317" t="str">
        <f>$K52</f>
        <v>...1</v>
      </c>
      <c r="T52" s="2339"/>
      <c r="U52" s="238"/>
      <c r="V52" s="688"/>
      <c r="W52" s="1184"/>
      <c r="X52" s="688"/>
      <c r="Y52" s="1184"/>
      <c r="Z52" s="1660"/>
      <c r="AA52" s="1386" t="s">
        <v>66</v>
      </c>
      <c r="AB52" s="1660"/>
      <c r="AC52" s="1386" t="s">
        <v>66</v>
      </c>
      <c r="AD52" s="2176" t="s">
        <v>66</v>
      </c>
      <c r="AE52" s="2313"/>
      <c r="AF52" s="2208">
        <v>1</v>
      </c>
      <c r="AG52" s="2338"/>
      <c r="AH52" s="2126" t="s">
        <v>66</v>
      </c>
      <c r="AI52" s="2313"/>
      <c r="AJ52" s="2208">
        <v>1</v>
      </c>
      <c r="AK52" s="2327" t="s">
        <v>28</v>
      </c>
      <c r="AL52" s="2126" t="s">
        <v>66</v>
      </c>
      <c r="AM52" s="2185"/>
      <c r="AN52" s="2208">
        <v>1</v>
      </c>
      <c r="AO52" s="2342"/>
      <c r="AP52" s="2343" t="s">
        <v>66</v>
      </c>
      <c r="AQ52" s="249"/>
      <c r="AR52" s="1390">
        <v>1</v>
      </c>
      <c r="AS52" s="1393" t="s">
        <v>28</v>
      </c>
      <c r="AT52" s="688"/>
      <c r="AU52" s="1184"/>
      <c r="AV52" s="688"/>
      <c r="AW52" s="1184"/>
      <c r="AX52" s="1660"/>
      <c r="AY52" s="1386" t="s">
        <v>66</v>
      </c>
      <c r="AZ52" s="1660"/>
      <c r="BA52" s="1386" t="s">
        <v>66</v>
      </c>
      <c r="BB52" s="1275"/>
      <c r="BC52" s="2274" t="s">
        <v>514</v>
      </c>
      <c r="BE52" s="437"/>
      <c r="BF52" s="437" t="str">
        <f t="shared" si="3"/>
        <v/>
      </c>
      <c r="BG52" s="437"/>
      <c r="BH52" s="437"/>
      <c r="BI52" s="1082">
        <v>11</v>
      </c>
    </row>
    <row r="53" spans="1:61" ht="11.45" customHeight="1">
      <c r="A53" s="1290"/>
      <c r="B53" s="1290"/>
      <c r="C53" s="1290"/>
      <c r="D53" s="1290"/>
      <c r="E53" s="2252"/>
      <c r="F53" s="2252"/>
      <c r="G53" s="2252"/>
      <c r="H53" s="2252"/>
      <c r="I53" s="2254"/>
      <c r="J53" s="2254"/>
      <c r="K53" s="2253"/>
      <c r="L53" s="1291"/>
      <c r="P53" s="2255"/>
      <c r="Q53" s="2255"/>
      <c r="R53" s="294"/>
      <c r="S53" s="2318"/>
      <c r="T53" s="2340"/>
      <c r="U53" s="238"/>
      <c r="V53" s="1320"/>
      <c r="W53" s="1423"/>
      <c r="X53" s="1320"/>
      <c r="Y53" s="1423"/>
      <c r="Z53" s="1320"/>
      <c r="AA53" s="1320"/>
      <c r="AB53" s="1320"/>
      <c r="AC53" s="1320"/>
      <c r="AD53" s="2177"/>
      <c r="AE53" s="2313"/>
      <c r="AF53" s="2208"/>
      <c r="AG53" s="2338"/>
      <c r="AH53" s="2126"/>
      <c r="AI53" s="2313"/>
      <c r="AJ53" s="2208"/>
      <c r="AK53" s="2327"/>
      <c r="AL53" s="2126"/>
      <c r="AM53" s="2190"/>
      <c r="AN53" s="2208"/>
      <c r="AO53" s="2342"/>
      <c r="AP53" s="2344"/>
      <c r="AQ53" s="254"/>
      <c r="AR53" s="353"/>
      <c r="AS53" s="353" t="s">
        <v>515</v>
      </c>
      <c r="AT53" s="1320"/>
      <c r="AU53" s="1423"/>
      <c r="AV53" s="1320"/>
      <c r="AW53" s="1423"/>
      <c r="AX53" s="1320"/>
      <c r="AY53" s="1320"/>
      <c r="AZ53" s="1320"/>
      <c r="BA53" s="1320"/>
      <c r="BB53" s="1324"/>
      <c r="BC53" s="2275"/>
      <c r="BE53" s="437"/>
      <c r="BF53" s="437"/>
      <c r="BG53" s="437"/>
      <c r="BH53" s="437"/>
      <c r="BI53" s="1082">
        <v>11</v>
      </c>
    </row>
    <row r="54" spans="1:61" ht="11.45" customHeight="1">
      <c r="A54" s="1290" t="s">
        <v>252</v>
      </c>
      <c r="B54" s="1290"/>
      <c r="C54" s="1290"/>
      <c r="D54" s="1290"/>
      <c r="E54" s="2252"/>
      <c r="F54" s="2252"/>
      <c r="G54" s="2252"/>
      <c r="H54" s="2252"/>
      <c r="I54" s="2254"/>
      <c r="J54" s="2254"/>
      <c r="K54" s="2253"/>
      <c r="L54" s="1291"/>
      <c r="P54" s="2255"/>
      <c r="Q54" s="2255"/>
      <c r="R54" s="294"/>
      <c r="S54" s="2318"/>
      <c r="T54" s="2340"/>
      <c r="U54" s="238"/>
      <c r="V54" s="1320"/>
      <c r="W54" s="1423"/>
      <c r="X54" s="1320"/>
      <c r="Y54" s="1423"/>
      <c r="Z54" s="1320"/>
      <c r="AA54" s="1320"/>
      <c r="AB54" s="1320"/>
      <c r="AC54" s="1320"/>
      <c r="AD54" s="2177"/>
      <c r="AE54" s="2313"/>
      <c r="AF54" s="2208"/>
      <c r="AG54" s="2338"/>
      <c r="AH54" s="2126"/>
      <c r="AI54" s="2313"/>
      <c r="AJ54" s="2208"/>
      <c r="AK54" s="2327"/>
      <c r="AL54" s="2126"/>
      <c r="AM54" s="254"/>
      <c r="AN54" s="1427"/>
      <c r="AO54" s="1427" t="s">
        <v>516</v>
      </c>
      <c r="AP54" s="353"/>
      <c r="AQ54" s="353"/>
      <c r="AR54" s="353"/>
      <c r="AS54" s="1320"/>
      <c r="AT54" s="1320"/>
      <c r="AU54" s="1423"/>
      <c r="AV54" s="1320"/>
      <c r="AW54" s="1423"/>
      <c r="AX54" s="1320"/>
      <c r="AY54" s="1320"/>
      <c r="AZ54" s="1320"/>
      <c r="BA54" s="1320"/>
      <c r="BB54" s="1324"/>
      <c r="BC54" s="2275"/>
      <c r="BE54" s="437"/>
      <c r="BF54" s="437"/>
      <c r="BG54" s="437"/>
      <c r="BH54" s="437"/>
      <c r="BI54" s="1082">
        <v>11</v>
      </c>
    </row>
    <row r="55" spans="1:61" ht="11.45" customHeight="1">
      <c r="A55" s="1290" t="s">
        <v>252</v>
      </c>
      <c r="B55" s="1290"/>
      <c r="C55" s="1290"/>
      <c r="D55" s="1290"/>
      <c r="E55" s="2252"/>
      <c r="F55" s="2252"/>
      <c r="G55" s="2252"/>
      <c r="H55" s="2252"/>
      <c r="I55" s="2254"/>
      <c r="J55" s="2254"/>
      <c r="K55" s="2253"/>
      <c r="L55" s="1291"/>
      <c r="P55" s="2255"/>
      <c r="Q55" s="2255"/>
      <c r="R55" s="294"/>
      <c r="S55" s="2318"/>
      <c r="T55" s="2340"/>
      <c r="U55" s="238"/>
      <c r="V55" s="1320"/>
      <c r="W55" s="1423"/>
      <c r="X55" s="1320"/>
      <c r="Y55" s="1423"/>
      <c r="Z55" s="1320"/>
      <c r="AA55" s="1320"/>
      <c r="AB55" s="1320"/>
      <c r="AC55" s="1320"/>
      <c r="AD55" s="2177"/>
      <c r="AE55" s="2313"/>
      <c r="AF55" s="2208"/>
      <c r="AG55" s="2338"/>
      <c r="AH55" s="2126"/>
      <c r="AI55" s="232"/>
      <c r="AJ55" s="352"/>
      <c r="AK55" s="251" t="s">
        <v>517</v>
      </c>
      <c r="AL55" s="1320"/>
      <c r="AM55" s="1320"/>
      <c r="AN55" s="1320"/>
      <c r="AO55" s="1320"/>
      <c r="AP55" s="1320"/>
      <c r="AQ55" s="1320"/>
      <c r="AR55" s="1320"/>
      <c r="AS55" s="1320"/>
      <c r="AT55" s="1320"/>
      <c r="AU55" s="1423"/>
      <c r="AV55" s="1320"/>
      <c r="AW55" s="1423"/>
      <c r="AX55" s="1320"/>
      <c r="AY55" s="1320"/>
      <c r="AZ55" s="1320"/>
      <c r="BA55" s="1320"/>
      <c r="BB55" s="1324"/>
      <c r="BC55" s="2275"/>
      <c r="BE55" s="437"/>
      <c r="BF55" s="437"/>
      <c r="BG55" s="437"/>
      <c r="BH55" s="437"/>
      <c r="BI55" s="1082">
        <v>11</v>
      </c>
    </row>
    <row r="56" spans="1:61" ht="11.45" customHeight="1">
      <c r="A56" s="1290" t="s">
        <v>252</v>
      </c>
      <c r="B56" s="1290" t="s">
        <v>253</v>
      </c>
      <c r="C56" s="1290" t="s">
        <v>254</v>
      </c>
      <c r="D56" s="1290" t="s">
        <v>528</v>
      </c>
      <c r="E56" s="2252"/>
      <c r="F56" s="2252"/>
      <c r="G56" s="2252"/>
      <c r="H56" s="2252"/>
      <c r="I56" s="2254"/>
      <c r="J56" s="2254"/>
      <c r="K56" s="2253"/>
      <c r="L56" s="1291"/>
      <c r="P56" s="2255"/>
      <c r="Q56" s="2255"/>
      <c r="R56" s="294"/>
      <c r="S56" s="2319"/>
      <c r="T56" s="2341"/>
      <c r="U56" s="238"/>
      <c r="V56" s="1320"/>
      <c r="W56" s="1321" t="str">
        <f>Z52&amp;"-"&amp;AB52</f>
        <v>-</v>
      </c>
      <c r="X56" s="1320"/>
      <c r="Y56" s="1321" t="str">
        <f>AB52&amp;"-"&amp;AD52</f>
        <v>-да</v>
      </c>
      <c r="Z56" s="1320"/>
      <c r="AA56" s="1320"/>
      <c r="AB56" s="1320"/>
      <c r="AC56" s="1320"/>
      <c r="AD56" s="2131"/>
      <c r="AE56" s="250"/>
      <c r="AF56" s="252"/>
      <c r="AG56" s="353" t="s">
        <v>518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75"/>
      <c r="BE56" s="437"/>
      <c r="BF56" s="437" t="str">
        <f t="shared" ref="BF56:BF63" si="4">IF(T56="","",T56)</f>
        <v/>
      </c>
      <c r="BG56" s="437"/>
      <c r="BH56" s="437"/>
      <c r="BI56" s="1082">
        <v>11</v>
      </c>
    </row>
    <row r="57" spans="1:61" ht="11.45" customHeight="1">
      <c r="A57" s="1290" t="s">
        <v>252</v>
      </c>
      <c r="B57" s="1290" t="s">
        <v>253</v>
      </c>
      <c r="C57" s="1290" t="s">
        <v>254</v>
      </c>
      <c r="D57" s="1290" t="s">
        <v>528</v>
      </c>
      <c r="E57" s="2252"/>
      <c r="F57" s="2252"/>
      <c r="G57" s="2252"/>
      <c r="H57" s="2252"/>
      <c r="I57" s="2254"/>
      <c r="J57" s="2253"/>
      <c r="K57" s="1290"/>
      <c r="L57" s="1291"/>
      <c r="P57" s="2255"/>
      <c r="Q57" s="225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76"/>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528</v>
      </c>
      <c r="E58" s="2252"/>
      <c r="F58" s="2252"/>
      <c r="G58" s="2252"/>
      <c r="H58" s="2252"/>
      <c r="I58" s="2253"/>
      <c r="J58" s="1270"/>
      <c r="K58" s="1270"/>
      <c r="L58" s="1273"/>
      <c r="M58" s="447"/>
      <c r="N58" s="447"/>
      <c r="O58" s="447"/>
      <c r="P58" s="225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528</v>
      </c>
      <c r="E59" s="2252"/>
      <c r="F59" s="2252"/>
      <c r="G59" s="2252"/>
      <c r="H59" s="225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52"/>
      <c r="F60" s="2252"/>
      <c r="G60" s="225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52"/>
      <c r="F61" s="2251"/>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51"/>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51">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45"/>
      <c r="W2" s="2246"/>
      <c r="X2" s="2246"/>
      <c r="Y2" s="2246"/>
      <c r="Z2" s="2246"/>
      <c r="AA2" s="2246"/>
      <c r="AB2" s="2247"/>
      <c r="AC2" s="2245" t="e">
        <f>INDEX(PT_DIFFERENTIATION_NTAR,MATCH(A2,PT_DIFFERENTIATION_NTAR_ID,0))</f>
        <v>#N/A</v>
      </c>
      <c r="AD2" s="2246"/>
      <c r="AE2" s="2246"/>
      <c r="AF2" s="2246"/>
      <c r="AG2" s="2246"/>
      <c r="AH2" s="2246"/>
      <c r="AI2" s="2246"/>
      <c r="AJ2" s="224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52"/>
      <c r="F3" s="225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45"/>
      <c r="W3" s="2246"/>
      <c r="X3" s="2246"/>
      <c r="Y3" s="2246"/>
      <c r="Z3" s="2246"/>
      <c r="AA3" s="2246"/>
      <c r="AB3" s="2247"/>
      <c r="AC3" s="2245" t="e">
        <f>INDEX(PT_DIFFERENTIATION_TER,MATCH(B3,PT_DIFFERENTIATION_TER_ID,0))</f>
        <v>#N/A</v>
      </c>
      <c r="AD3" s="2246"/>
      <c r="AE3" s="2246"/>
      <c r="AF3" s="2246"/>
      <c r="AG3" s="2246"/>
      <c r="AH3" s="2246"/>
      <c r="AI3" s="2246"/>
      <c r="AJ3" s="2247"/>
      <c r="AK3" s="1185" t="s">
        <v>404</v>
      </c>
      <c r="AM3" s="437"/>
      <c r="AN3" s="437" t="str">
        <f t="shared" si="0"/>
        <v>Территория действия тарифа</v>
      </c>
      <c r="AO3" s="437"/>
      <c r="AP3" s="437"/>
      <c r="AQ3" s="1082">
        <v>0</v>
      </c>
    </row>
    <row r="4" spans="1:43" ht="23.25" hidden="1" customHeight="1">
      <c r="A4" s="1290"/>
      <c r="B4" s="1290"/>
      <c r="C4" s="1290"/>
      <c r="D4" s="1290"/>
      <c r="E4" s="2252"/>
      <c r="F4" s="2252"/>
      <c r="G4" s="2251">
        <v>1</v>
      </c>
      <c r="H4" s="1290"/>
      <c r="I4" s="1290"/>
      <c r="J4" s="1290"/>
      <c r="K4" s="1290"/>
      <c r="L4" s="1291"/>
      <c r="M4" s="1292"/>
      <c r="N4" s="1292"/>
      <c r="O4" s="1292"/>
      <c r="P4" s="291"/>
      <c r="Q4" s="289"/>
      <c r="R4" s="290"/>
      <c r="S4" s="1420" t="e">
        <f>INDEX(PT_DIFFERENTIATION_NUM_CS,MATCH(C4,PT_DIFFERENTIATION_CS_ID,0))</f>
        <v>#N/A</v>
      </c>
      <c r="T4" s="247" t="s">
        <v>529</v>
      </c>
      <c r="U4" s="238"/>
      <c r="V4" s="2245"/>
      <c r="W4" s="2246"/>
      <c r="X4" s="2246"/>
      <c r="Y4" s="2246"/>
      <c r="Z4" s="2246"/>
      <c r="AA4" s="2246"/>
      <c r="AB4" s="2247"/>
      <c r="AC4" s="2245" t="e">
        <f>INDEX(PT_DIFFERENTIATION_CS,MATCH(C4,PT_DIFFERENTIATION_CS_ID,0))</f>
        <v>#N/A</v>
      </c>
      <c r="AD4" s="2246"/>
      <c r="AE4" s="2246"/>
      <c r="AF4" s="2246"/>
      <c r="AG4" s="2246"/>
      <c r="AH4" s="2246"/>
      <c r="AI4" s="2246"/>
      <c r="AJ4" s="2247"/>
      <c r="AK4" s="1185" t="s">
        <v>530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52"/>
      <c r="F5" s="2252"/>
      <c r="G5" s="2252"/>
      <c r="H5" s="2252"/>
      <c r="I5" s="2253" t="e">
        <f>S4&amp;".1"</f>
        <v>#N/A</v>
      </c>
      <c r="J5" s="1290"/>
      <c r="K5" s="1290"/>
      <c r="L5" s="1291"/>
      <c r="P5" s="2255">
        <v>1</v>
      </c>
      <c r="Q5" s="1408"/>
      <c r="R5" s="293"/>
      <c r="S5" s="1420" t="e">
        <f>$I5</f>
        <v>#N/A</v>
      </c>
      <c r="T5" s="223" t="s">
        <v>496</v>
      </c>
      <c r="U5" s="238"/>
      <c r="V5" s="2330"/>
      <c r="W5" s="2331"/>
      <c r="X5" s="2331"/>
      <c r="Y5" s="2331"/>
      <c r="Z5" s="2331"/>
      <c r="AA5" s="2331"/>
      <c r="AB5" s="2332"/>
      <c r="AC5" s="2333"/>
      <c r="AD5" s="2334"/>
      <c r="AE5" s="2334"/>
      <c r="AF5" s="2334"/>
      <c r="AG5" s="2334"/>
      <c r="AH5" s="2334"/>
      <c r="AI5" s="2334"/>
      <c r="AJ5" s="2335"/>
      <c r="AK5" s="1185" t="s">
        <v>497</v>
      </c>
      <c r="AM5" s="437"/>
      <c r="AN5" s="437" t="str">
        <f t="shared" si="0"/>
        <v>Наименование признака дифференциации</v>
      </c>
      <c r="AO5" s="437"/>
      <c r="AP5" s="437"/>
      <c r="AQ5" s="1082">
        <v>0</v>
      </c>
    </row>
    <row r="6" spans="1:43" ht="23.25" hidden="1" customHeight="1">
      <c r="A6" s="1290"/>
      <c r="B6" s="1290"/>
      <c r="C6" s="1290"/>
      <c r="D6" s="1290"/>
      <c r="E6" s="2252"/>
      <c r="F6" s="2252"/>
      <c r="G6" s="2252"/>
      <c r="H6" s="2252"/>
      <c r="I6" s="2254"/>
      <c r="J6" s="2253" t="e">
        <f>I5&amp;".1"</f>
        <v>#N/A</v>
      </c>
      <c r="K6" s="1290"/>
      <c r="L6" s="1291" t="s">
        <v>412</v>
      </c>
      <c r="P6" s="2255"/>
      <c r="Q6" s="2255">
        <v>1</v>
      </c>
      <c r="R6" s="294"/>
      <c r="S6" s="1420" t="e">
        <f>$J6</f>
        <v>#N/A</v>
      </c>
      <c r="T6" s="224" t="s">
        <v>413</v>
      </c>
      <c r="U6" s="238"/>
      <c r="V6" s="2239"/>
      <c r="W6" s="2240"/>
      <c r="X6" s="2240"/>
      <c r="Y6" s="2240"/>
      <c r="Z6" s="2240"/>
      <c r="AA6" s="2240"/>
      <c r="AB6" s="2241"/>
      <c r="AC6" s="2239"/>
      <c r="AD6" s="2240"/>
      <c r="AE6" s="2240"/>
      <c r="AF6" s="2240"/>
      <c r="AG6" s="2240"/>
      <c r="AH6" s="2240"/>
      <c r="AI6" s="2240"/>
      <c r="AJ6" s="2241"/>
      <c r="AK6" s="1234" t="s">
        <v>498</v>
      </c>
      <c r="AM6" s="437"/>
      <c r="AN6" s="437" t="str">
        <f t="shared" si="0"/>
        <v>Группа потребителей</v>
      </c>
      <c r="AO6" s="437"/>
      <c r="AP6" s="437"/>
      <c r="AQ6" s="1082">
        <v>0</v>
      </c>
    </row>
    <row r="7" spans="1:43" ht="23.25" hidden="1" customHeight="1">
      <c r="A7" s="1290"/>
      <c r="B7" s="1290"/>
      <c r="C7" s="1290"/>
      <c r="D7" s="1290"/>
      <c r="E7" s="2252"/>
      <c r="F7" s="2252"/>
      <c r="G7" s="2252"/>
      <c r="H7" s="2252"/>
      <c r="I7" s="2254"/>
      <c r="J7" s="2254"/>
      <c r="K7" s="2253" t="e">
        <f>J6&amp;".1"</f>
        <v>#N/A</v>
      </c>
      <c r="L7" s="1291"/>
      <c r="P7" s="2255"/>
      <c r="Q7" s="2255"/>
      <c r="R7" s="294">
        <v>1</v>
      </c>
      <c r="S7" s="1420" t="e">
        <f>$K7</f>
        <v>#N/A</v>
      </c>
      <c r="T7" s="1364"/>
      <c r="U7" s="238"/>
      <c r="V7" s="688"/>
      <c r="W7" s="688"/>
      <c r="X7" s="1184"/>
      <c r="Y7" s="2256"/>
      <c r="Z7" s="2126" t="s">
        <v>66</v>
      </c>
      <c r="AA7" s="2256"/>
      <c r="AB7" s="2126" t="s">
        <v>66</v>
      </c>
      <c r="AC7" s="688"/>
      <c r="AD7" s="688"/>
      <c r="AE7" s="1184"/>
      <c r="AF7" s="2256"/>
      <c r="AG7" s="2126" t="s">
        <v>66</v>
      </c>
      <c r="AH7" s="2258"/>
      <c r="AI7" s="2126" t="s">
        <v>66</v>
      </c>
      <c r="AJ7" s="1365"/>
      <c r="AK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52"/>
      <c r="F8" s="2252"/>
      <c r="G8" s="2252"/>
      <c r="H8" s="2252"/>
      <c r="I8" s="2254"/>
      <c r="J8" s="2254"/>
      <c r="K8" s="2253"/>
      <c r="L8" s="1291"/>
      <c r="P8" s="2255"/>
      <c r="Q8" s="2255"/>
      <c r="R8" s="294"/>
      <c r="S8" s="1417"/>
      <c r="T8" s="238"/>
      <c r="U8" s="238"/>
      <c r="V8" s="263"/>
      <c r="W8" s="263"/>
      <c r="X8" s="266" t="str">
        <f>Y7&amp;"-"&amp;AA7</f>
        <v>-</v>
      </c>
      <c r="Y8" s="2257"/>
      <c r="Z8" s="2126"/>
      <c r="AA8" s="2257"/>
      <c r="AB8" s="2126"/>
      <c r="AC8" s="263"/>
      <c r="AD8" s="263"/>
      <c r="AE8" s="266" t="str">
        <f>AF7&amp;"-"&amp;AH7</f>
        <v>-</v>
      </c>
      <c r="AF8" s="2257"/>
      <c r="AG8" s="2126"/>
      <c r="AH8" s="2259"/>
      <c r="AI8" s="2126"/>
      <c r="AJ8" s="1366"/>
      <c r="AK8" s="2336"/>
      <c r="AM8" s="437"/>
      <c r="AN8" s="437" t="str">
        <f t="shared" si="0"/>
        <v/>
      </c>
      <c r="AO8" s="437"/>
      <c r="AP8" s="437"/>
      <c r="AQ8" s="1082">
        <v>0</v>
      </c>
    </row>
    <row r="9" spans="1:43" ht="21" hidden="1" customHeight="1">
      <c r="A9" s="1290"/>
      <c r="B9" s="1290"/>
      <c r="C9" s="1290"/>
      <c r="D9" s="1290"/>
      <c r="E9" s="2252"/>
      <c r="F9" s="2252"/>
      <c r="G9" s="2252"/>
      <c r="H9" s="2252"/>
      <c r="I9" s="2254"/>
      <c r="J9" s="2253"/>
      <c r="K9" s="1290"/>
      <c r="L9" s="1291"/>
      <c r="P9" s="2255"/>
      <c r="Q9" s="2255"/>
      <c r="R9" s="293"/>
      <c r="S9" s="1205"/>
      <c r="T9" s="225" t="s">
        <v>499</v>
      </c>
      <c r="U9" s="304"/>
      <c r="V9" s="304"/>
      <c r="W9" s="304"/>
      <c r="X9" s="304"/>
      <c r="Y9" s="304"/>
      <c r="Z9" s="304"/>
      <c r="AA9" s="304"/>
      <c r="AB9" s="304"/>
      <c r="AC9" s="304"/>
      <c r="AD9" s="304"/>
      <c r="AE9" s="304"/>
      <c r="AF9" s="304"/>
      <c r="AG9" s="304"/>
      <c r="AH9" s="304"/>
      <c r="AI9" s="304"/>
      <c r="AJ9" s="304"/>
      <c r="AK9" s="1185" t="s">
        <v>500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52"/>
      <c r="F10" s="2252"/>
      <c r="G10" s="2252"/>
      <c r="H10" s="2252"/>
      <c r="I10" s="2253"/>
      <c r="J10" s="1290"/>
      <c r="K10" s="1290"/>
      <c r="L10" s="1291"/>
      <c r="P10" s="2255"/>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52"/>
      <c r="F12" s="2251"/>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49"/>
      <c r="AG15" s="2248" t="s">
        <v>66</v>
      </c>
      <c r="AH15" s="2249"/>
      <c r="AI15" s="2248" t="s">
        <v>66</v>
      </c>
      <c r="AQ15" s="1082">
        <v>0</v>
      </c>
    </row>
    <row r="16" spans="1:43" ht="14.25" hidden="1" customHeight="1">
      <c r="AC16" s="1287"/>
      <c r="AD16" s="1287"/>
      <c r="AE16" s="266" t="str">
        <f>AF15&amp;"-"&amp;AH15</f>
        <v>-</v>
      </c>
      <c r="AF16" s="2248"/>
      <c r="AG16" s="2248"/>
      <c r="AH16" s="2248"/>
      <c r="AI16" s="2248"/>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70"/>
      <c r="AQ24" s="1082">
        <v>14</v>
      </c>
    </row>
    <row r="25" spans="1:43"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64"/>
      <c r="AC27" s="2244" t="str">
        <f>IF(TITLE_NAME_OR_PR_CHANGE="",IF(TITLE_NAME_OR_PR="","",TITLE_NAME_OR_PR),TITLE_NAME_OR_PR_CHANGE)</f>
        <v/>
      </c>
      <c r="AD27" s="2244"/>
      <c r="AE27" s="2244"/>
      <c r="AF27" s="2244"/>
      <c r="AG27" s="2244"/>
      <c r="AH27" s="224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64"/>
      <c r="AC28" s="2243">
        <f>IF(TITLE_DATE_PR_CHANGE="",IF(TITLE_DATE_PR="","",TITLE_DATE_PR),TITLE_DATE_PR_CHANGE)</f>
        <v>45777</v>
      </c>
      <c r="AD28" s="2243"/>
      <c r="AE28" s="2243"/>
      <c r="AF28" s="2243"/>
      <c r="AG28" s="2243"/>
      <c r="AH28" s="224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64"/>
      <c r="AC29" s="2244" t="str">
        <f>IF(TITLE_NUMBER_PR_CHANGE="",IF(TITLE_NUMBER_PR="","",TITLE_NUMBER_PR),TITLE_NUMBER_PR_CHANGE)</f>
        <v>466</v>
      </c>
      <c r="AD29" s="2244"/>
      <c r="AE29" s="2244"/>
      <c r="AF29" s="2244"/>
      <c r="AG29" s="2244"/>
      <c r="AH29" s="224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64"/>
      <c r="AC30" s="2244" t="str">
        <f>IF(TITLE_IST_PUB_CHANGE="",IF(TITLE_IST_PUB="","",TITLE_IST_PUB),TITLE_IST_PUB_CHANGE)</f>
        <v/>
      </c>
      <c r="AD30" s="2244"/>
      <c r="AE30" s="2244"/>
      <c r="AF30" s="2244"/>
      <c r="AG30" s="2244"/>
      <c r="AH30" s="224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64"/>
      <c r="AC32" s="2243">
        <f>IF(TITLE_DATE_PR_CHANGE="",IF(TITLE_DATE_PR="","",TITLE_DATE_PR),TITLE_DATE_PR_CHANGE)</f>
        <v>45777</v>
      </c>
      <c r="AD32" s="2243"/>
      <c r="AE32" s="2243"/>
      <c r="AF32" s="2243"/>
      <c r="AG32" s="2243"/>
      <c r="AH32" s="224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64"/>
      <c r="AC33" s="2244" t="str">
        <f>IF(TITLE_NUMBER_PR_CHANGE="",IF(TITLE_NUMBER_PR="","",TITLE_NUMBER_PR),TITLE_NUMBER_PR_CHANGE)</f>
        <v>466</v>
      </c>
      <c r="AD33" s="2244"/>
      <c r="AE33" s="2244"/>
      <c r="AF33" s="2244"/>
      <c r="AG33" s="2244"/>
      <c r="AH33" s="224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63"/>
      <c r="W35" s="2263"/>
      <c r="X35" s="2263"/>
      <c r="Y35" s="2263"/>
      <c r="Z35" s="2263"/>
      <c r="AA35" s="2263"/>
      <c r="AB35" s="2263"/>
      <c r="AC35" s="2263"/>
      <c r="AD35" s="2263"/>
      <c r="AE35" s="2263"/>
      <c r="AF35" s="2263"/>
      <c r="AG35" s="2263"/>
      <c r="AH35" s="2263"/>
      <c r="AI35" s="2263"/>
      <c r="AQ35" s="1082">
        <v>14</v>
      </c>
    </row>
    <row r="36" spans="1:43"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t="s">
        <v>307</v>
      </c>
      <c r="AQ36" s="1082">
        <v>14</v>
      </c>
    </row>
    <row r="37" spans="1:43" ht="14.65" customHeight="1">
      <c r="Q37" s="313"/>
      <c r="R37" s="313"/>
      <c r="S37" s="2264" t="s">
        <v>88</v>
      </c>
      <c r="T37" s="2212" t="s">
        <v>431</v>
      </c>
      <c r="U37" s="239"/>
      <c r="V37" s="2265" t="s">
        <v>432</v>
      </c>
      <c r="W37" s="2266"/>
      <c r="X37" s="2266"/>
      <c r="Y37" s="2266"/>
      <c r="Z37" s="2266"/>
      <c r="AA37" s="2267"/>
      <c r="AB37" s="2268" t="s">
        <v>433</v>
      </c>
      <c r="AC37" s="2265" t="s">
        <v>432</v>
      </c>
      <c r="AD37" s="2266"/>
      <c r="AE37" s="2266"/>
      <c r="AF37" s="2266"/>
      <c r="AG37" s="2266"/>
      <c r="AH37" s="2267"/>
      <c r="AI37" s="2268" t="s">
        <v>434</v>
      </c>
      <c r="AJ37" s="2271" t="s">
        <v>435</v>
      </c>
      <c r="AK37" s="2116"/>
      <c r="AQ37" s="1082">
        <v>14</v>
      </c>
    </row>
    <row r="38" spans="1:43" ht="35.65" customHeight="1">
      <c r="Q38" s="313"/>
      <c r="R38" s="313"/>
      <c r="S38" s="2264"/>
      <c r="T38" s="2212"/>
      <c r="U38" s="961"/>
      <c r="V38" s="1410" t="s">
        <v>502</v>
      </c>
      <c r="W38" s="2098" t="s">
        <v>438</v>
      </c>
      <c r="X38" s="2097"/>
      <c r="Y38" s="2098" t="s">
        <v>439</v>
      </c>
      <c r="Z38" s="2103"/>
      <c r="AA38" s="2097"/>
      <c r="AB38" s="2269"/>
      <c r="AC38" s="1410" t="s">
        <v>502</v>
      </c>
      <c r="AD38" s="2098" t="s">
        <v>438</v>
      </c>
      <c r="AE38" s="2097"/>
      <c r="AF38" s="2098" t="s">
        <v>439</v>
      </c>
      <c r="AG38" s="2103"/>
      <c r="AH38" s="2097"/>
      <c r="AI38" s="2269"/>
      <c r="AJ38" s="2272"/>
      <c r="AK38" s="2116"/>
      <c r="AQ38" s="1082">
        <v>34</v>
      </c>
    </row>
    <row r="39" spans="1:43" ht="90.4" customHeight="1">
      <c r="A39" s="1297"/>
      <c r="B39" s="1297" t="s">
        <v>136</v>
      </c>
      <c r="C39" s="1297" t="s">
        <v>137</v>
      </c>
      <c r="D39" s="1297" t="s">
        <v>138</v>
      </c>
      <c r="E39" s="1291" t="s">
        <v>440</v>
      </c>
      <c r="F39" s="1291" t="s">
        <v>441</v>
      </c>
      <c r="G39" s="1291" t="s">
        <v>442</v>
      </c>
      <c r="H39" s="1291"/>
      <c r="I39" s="1291" t="s">
        <v>503</v>
      </c>
      <c r="J39" s="1291" t="s">
        <v>445</v>
      </c>
      <c r="K39" s="1291" t="s">
        <v>504</v>
      </c>
      <c r="L39" s="1291" t="s">
        <v>421</v>
      </c>
      <c r="Q39" s="313"/>
      <c r="R39" s="313"/>
      <c r="S39" s="2264"/>
      <c r="T39" s="2212"/>
      <c r="U39" s="240"/>
      <c r="V39" s="1410" t="s">
        <v>531</v>
      </c>
      <c r="W39" s="1149" t="s">
        <v>532</v>
      </c>
      <c r="X39" s="1149" t="s">
        <v>507</v>
      </c>
      <c r="Y39" s="1416" t="s">
        <v>449</v>
      </c>
      <c r="Z39" s="2217" t="s">
        <v>450</v>
      </c>
      <c r="AA39" s="2231"/>
      <c r="AB39" s="2270"/>
      <c r="AC39" s="1410" t="s">
        <v>531</v>
      </c>
      <c r="AD39" s="1149" t="s">
        <v>532</v>
      </c>
      <c r="AE39" s="1149" t="s">
        <v>507</v>
      </c>
      <c r="AF39" s="1416" t="s">
        <v>449</v>
      </c>
      <c r="AG39" s="2217" t="s">
        <v>450</v>
      </c>
      <c r="AH39" s="2231"/>
      <c r="AI39" s="2270"/>
      <c r="AJ39" s="2273"/>
      <c r="AK39" s="2116"/>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62">
        <f ca="1">OFFSET(Z40,0,-1)+1</f>
        <v>7</v>
      </c>
      <c r="AA40" s="2262"/>
      <c r="AB40" s="1409">
        <f ca="1">OFFSET(AB40,0,-2)+1</f>
        <v>8</v>
      </c>
      <c r="AC40" s="1409">
        <f ca="1">OFFSET(AC40,0,-1)+1</f>
        <v>9</v>
      </c>
      <c r="AD40" s="1409">
        <f ca="1">OFFSET(AD40,0,-1)+1</f>
        <v>10</v>
      </c>
      <c r="AE40" s="1409">
        <f ca="1">OFFSET(AE40,0,-1)+1</f>
        <v>11</v>
      </c>
      <c r="AF40" s="1409">
        <f ca="1">OFFSET(AF40,0,-1)+1</f>
        <v>12</v>
      </c>
      <c r="AG40" s="2262">
        <f ca="1">OFFSET(AG40,0,-1)+1</f>
        <v>13</v>
      </c>
      <c r="AH40" s="2262"/>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51">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52"/>
      <c r="F42" s="2251">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52"/>
      <c r="F43" s="2252"/>
      <c r="G43" s="2251">
        <v>1</v>
      </c>
      <c r="H43" s="1290"/>
      <c r="I43" s="1290"/>
      <c r="J43" s="1290"/>
      <c r="K43" s="1290"/>
      <c r="L43" s="1291"/>
      <c r="M43" s="1292"/>
      <c r="N43" s="1292"/>
      <c r="O43" s="1292"/>
      <c r="P43" s="291"/>
      <c r="Q43" s="289"/>
      <c r="R43" s="290"/>
      <c r="S43" s="1420" t="str">
        <f>INDEX(PT_DIFFERENTIATION_NUM_CS,MATCH(C43,PT_DIFFERENTIATION_CS_ID,0))</f>
        <v>..</v>
      </c>
      <c r="T43" s="247" t="s">
        <v>529</v>
      </c>
      <c r="U43" s="238"/>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5" t="s">
        <v>530</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533</v>
      </c>
      <c r="E44" s="2252"/>
      <c r="F44" s="2252"/>
      <c r="G44" s="2252"/>
      <c r="H44" s="2252"/>
      <c r="I44" s="2253" t="str">
        <f>S43&amp;".1"</f>
        <v>...1</v>
      </c>
      <c r="J44" s="1290"/>
      <c r="K44" s="1290"/>
      <c r="L44" s="1291"/>
      <c r="P44" s="2255">
        <v>1</v>
      </c>
      <c r="Q44" s="1408"/>
      <c r="R44" s="293"/>
      <c r="S44" s="1420" t="str">
        <f>$I44</f>
        <v>...1</v>
      </c>
      <c r="T44" s="223" t="s">
        <v>496</v>
      </c>
      <c r="U44" s="238"/>
      <c r="V44" s="2330"/>
      <c r="W44" s="2331"/>
      <c r="X44" s="2331"/>
      <c r="Y44" s="2331"/>
      <c r="Z44" s="2331"/>
      <c r="AA44" s="2331"/>
      <c r="AB44" s="2332"/>
      <c r="AC44" s="2333"/>
      <c r="AD44" s="2334"/>
      <c r="AE44" s="2334"/>
      <c r="AF44" s="2334"/>
      <c r="AG44" s="2334"/>
      <c r="AH44" s="2334"/>
      <c r="AI44" s="2334"/>
      <c r="AJ44" s="2335"/>
      <c r="AK44" s="1185" t="s">
        <v>497</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533</v>
      </c>
      <c r="E45" s="2252"/>
      <c r="F45" s="2252"/>
      <c r="G45" s="2252"/>
      <c r="H45" s="2252"/>
      <c r="I45" s="2254"/>
      <c r="J45" s="2253" t="str">
        <f>I44&amp;".1"</f>
        <v>...1.1</v>
      </c>
      <c r="K45" s="1290"/>
      <c r="L45" s="1291" t="s">
        <v>412</v>
      </c>
      <c r="P45" s="2255"/>
      <c r="Q45" s="2255">
        <v>1</v>
      </c>
      <c r="R45" s="294"/>
      <c r="S45" s="1420" t="str">
        <f>$J45</f>
        <v>...1.1</v>
      </c>
      <c r="T45" s="224" t="s">
        <v>413</v>
      </c>
      <c r="U45" s="238"/>
      <c r="V45" s="2239"/>
      <c r="W45" s="2240"/>
      <c r="X45" s="2240"/>
      <c r="Y45" s="2240"/>
      <c r="Z45" s="2240"/>
      <c r="AA45" s="2240"/>
      <c r="AB45" s="2241"/>
      <c r="AC45" s="2239"/>
      <c r="AD45" s="2240"/>
      <c r="AE45" s="2240"/>
      <c r="AF45" s="2240"/>
      <c r="AG45" s="2240"/>
      <c r="AH45" s="2240"/>
      <c r="AI45" s="2240"/>
      <c r="AJ45" s="2241"/>
      <c r="AK45" s="1234" t="s">
        <v>498</v>
      </c>
      <c r="AM45" s="437"/>
      <c r="AN45" s="437" t="str">
        <f t="shared" si="1"/>
        <v>Группа потребителей</v>
      </c>
      <c r="AO45" s="437"/>
      <c r="AP45" s="437"/>
      <c r="AQ45" s="1082">
        <v>23</v>
      </c>
    </row>
    <row r="46" spans="1:43" ht="24" customHeight="1">
      <c r="A46" s="1290" t="s">
        <v>272</v>
      </c>
      <c r="B46" s="1290" t="s">
        <v>273</v>
      </c>
      <c r="C46" s="1290" t="s">
        <v>274</v>
      </c>
      <c r="D46" s="1290" t="s">
        <v>533</v>
      </c>
      <c r="E46" s="2252"/>
      <c r="F46" s="2252"/>
      <c r="G46" s="2252"/>
      <c r="H46" s="2252"/>
      <c r="I46" s="2254"/>
      <c r="J46" s="2254"/>
      <c r="K46" s="2253" t="str">
        <f>J45&amp;".1"</f>
        <v>...1.1.1</v>
      </c>
      <c r="L46" s="1291"/>
      <c r="P46" s="2255"/>
      <c r="Q46" s="2255"/>
      <c r="R46" s="294">
        <v>1</v>
      </c>
      <c r="S46" s="1420" t="str">
        <f>$K46</f>
        <v>...1.1.1</v>
      </c>
      <c r="T46" s="1364"/>
      <c r="U46" s="238"/>
      <c r="V46" s="1287"/>
      <c r="W46" s="1287"/>
      <c r="X46" s="1288"/>
      <c r="Y46" s="2249"/>
      <c r="Z46" s="2248" t="s">
        <v>66</v>
      </c>
      <c r="AA46" s="2249"/>
      <c r="AB46" s="2248" t="s">
        <v>66</v>
      </c>
      <c r="AC46" s="688"/>
      <c r="AD46" s="688"/>
      <c r="AE46" s="1184"/>
      <c r="AF46" s="2256"/>
      <c r="AG46" s="2126" t="s">
        <v>66</v>
      </c>
      <c r="AH46" s="2258"/>
      <c r="AI46" s="2126" t="s">
        <v>19</v>
      </c>
      <c r="AJ46" s="1365"/>
      <c r="AK46"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533</v>
      </c>
      <c r="E47" s="2252"/>
      <c r="F47" s="2252"/>
      <c r="G47" s="2252"/>
      <c r="H47" s="2252"/>
      <c r="I47" s="2254"/>
      <c r="J47" s="2254"/>
      <c r="K47" s="2253"/>
      <c r="L47" s="1291"/>
      <c r="P47" s="2255"/>
      <c r="Q47" s="2255"/>
      <c r="R47" s="294"/>
      <c r="S47" s="1417"/>
      <c r="T47" s="238"/>
      <c r="U47" s="238"/>
      <c r="V47" s="1287"/>
      <c r="W47" s="1287"/>
      <c r="X47" s="266" t="str">
        <f>Y46&amp;"-"&amp;AA46</f>
        <v>-</v>
      </c>
      <c r="Y47" s="2248"/>
      <c r="Z47" s="2248"/>
      <c r="AA47" s="2248"/>
      <c r="AB47" s="2248"/>
      <c r="AC47" s="263"/>
      <c r="AD47" s="263"/>
      <c r="AE47" s="266" t="str">
        <f>AF46&amp;"-"&amp;AH46</f>
        <v>-</v>
      </c>
      <c r="AF47" s="2257"/>
      <c r="AG47" s="2126"/>
      <c r="AH47" s="2259"/>
      <c r="AI47" s="2126"/>
      <c r="AJ47" s="1366"/>
      <c r="AK47" s="2336"/>
      <c r="AM47" s="437"/>
      <c r="AN47" s="437" t="str">
        <f t="shared" si="1"/>
        <v/>
      </c>
      <c r="AO47" s="437"/>
      <c r="AP47" s="437"/>
      <c r="AQ47" s="1082">
        <v>0</v>
      </c>
    </row>
    <row r="48" spans="1:43" ht="21" customHeight="1">
      <c r="A48" s="1290" t="s">
        <v>272</v>
      </c>
      <c r="B48" s="1290" t="s">
        <v>273</v>
      </c>
      <c r="C48" s="1290" t="s">
        <v>274</v>
      </c>
      <c r="D48" s="1290" t="s">
        <v>533</v>
      </c>
      <c r="E48" s="2252"/>
      <c r="F48" s="2252"/>
      <c r="G48" s="2252"/>
      <c r="H48" s="2252"/>
      <c r="I48" s="2254"/>
      <c r="J48" s="2253"/>
      <c r="K48" s="1290"/>
      <c r="L48" s="1291"/>
      <c r="P48" s="2255"/>
      <c r="Q48" s="2255"/>
      <c r="R48" s="293"/>
      <c r="S48" s="1205"/>
      <c r="T48" s="225" t="s">
        <v>499</v>
      </c>
      <c r="U48" s="304"/>
      <c r="V48" s="304"/>
      <c r="W48" s="304"/>
      <c r="X48" s="304"/>
      <c r="Y48" s="304"/>
      <c r="Z48" s="304"/>
      <c r="AA48" s="304"/>
      <c r="AB48" s="304"/>
      <c r="AC48" s="304"/>
      <c r="AD48" s="304"/>
      <c r="AE48" s="304"/>
      <c r="AF48" s="304"/>
      <c r="AG48" s="304"/>
      <c r="AH48" s="304"/>
      <c r="AI48" s="304"/>
      <c r="AJ48" s="304"/>
      <c r="AK48" s="1185" t="s">
        <v>500</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533</v>
      </c>
      <c r="E49" s="2252"/>
      <c r="F49" s="2252"/>
      <c r="G49" s="2252"/>
      <c r="H49" s="2252"/>
      <c r="I49" s="2253"/>
      <c r="J49" s="1290"/>
      <c r="K49" s="1290"/>
      <c r="L49" s="1291"/>
      <c r="P49" s="2255"/>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533</v>
      </c>
      <c r="E50" s="2252"/>
      <c r="F50" s="2252"/>
      <c r="G50" s="2252"/>
      <c r="H50" s="2251"/>
      <c r="I50" s="1290"/>
      <c r="J50" s="1290"/>
      <c r="K50" s="1290"/>
      <c r="L50" s="1291"/>
      <c r="M50" s="1292"/>
      <c r="N50" s="1292"/>
      <c r="O50" s="474"/>
      <c r="P50" s="297"/>
      <c r="Q50" s="312"/>
      <c r="R50" s="292"/>
      <c r="S50" s="1205"/>
      <c r="T50" s="309" t="s">
        <v>501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52"/>
      <c r="F51" s="2251"/>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51"/>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51">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45"/>
      <c r="W2" s="2246"/>
      <c r="X2" s="2246"/>
      <c r="Y2" s="2246"/>
      <c r="Z2" s="2246"/>
      <c r="AA2" s="2246"/>
      <c r="AB2" s="2247"/>
      <c r="AC2" s="2245" t="e">
        <f>INDEX(PT_DIFFERENTIATION_NTAR,MATCH(A2,PT_DIFFERENTIATION_NTAR_ID,0))</f>
        <v>#N/A</v>
      </c>
      <c r="AD2" s="2246"/>
      <c r="AE2" s="2246"/>
      <c r="AF2" s="2246"/>
      <c r="AG2" s="2246"/>
      <c r="AH2" s="2246"/>
      <c r="AI2" s="2246"/>
      <c r="AJ2" s="224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52"/>
      <c r="F3" s="225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45"/>
      <c r="W3" s="2246"/>
      <c r="X3" s="2246"/>
      <c r="Y3" s="2246"/>
      <c r="Z3" s="2246"/>
      <c r="AA3" s="2246"/>
      <c r="AB3" s="2247"/>
      <c r="AC3" s="2245" t="e">
        <f>INDEX(PT_DIFFERENTIATION_TER,MATCH(B3,PT_DIFFERENTIATION_TER_ID,0))</f>
        <v>#N/A</v>
      </c>
      <c r="AD3" s="2246"/>
      <c r="AE3" s="2246"/>
      <c r="AF3" s="2246"/>
      <c r="AG3" s="2246"/>
      <c r="AH3" s="2246"/>
      <c r="AI3" s="2246"/>
      <c r="AJ3" s="2247"/>
      <c r="AK3" s="1185" t="s">
        <v>404</v>
      </c>
      <c r="AM3" s="437"/>
      <c r="AN3" s="437" t="str">
        <f t="shared" si="0"/>
        <v>Территория действия тарифа</v>
      </c>
      <c r="AO3" s="437"/>
      <c r="AP3" s="437"/>
      <c r="AQ3" s="1082">
        <v>0</v>
      </c>
    </row>
    <row r="4" spans="1:43" ht="23.25" hidden="1" customHeight="1">
      <c r="A4" s="1290"/>
      <c r="B4" s="1290"/>
      <c r="C4" s="1290"/>
      <c r="D4" s="1290"/>
      <c r="E4" s="2252"/>
      <c r="F4" s="2252"/>
      <c r="G4" s="2251">
        <v>1</v>
      </c>
      <c r="H4" s="1290"/>
      <c r="I4" s="1290"/>
      <c r="J4" s="1290"/>
      <c r="K4" s="1290"/>
      <c r="L4" s="1291"/>
      <c r="M4" s="1292"/>
      <c r="N4" s="1292"/>
      <c r="O4" s="1292"/>
      <c r="P4" s="291"/>
      <c r="Q4" s="289"/>
      <c r="R4" s="290"/>
      <c r="S4" s="1420" t="e">
        <f>INDEX(PT_DIFFERENTIATION_NUM_CS,MATCH(C4,PT_DIFFERENTIATION_CS_ID,0))</f>
        <v>#N/A</v>
      </c>
      <c r="T4" s="247" t="s">
        <v>529</v>
      </c>
      <c r="U4" s="238"/>
      <c r="V4" s="2245"/>
      <c r="W4" s="2246"/>
      <c r="X4" s="2246"/>
      <c r="Y4" s="2246"/>
      <c r="Z4" s="2246"/>
      <c r="AA4" s="2246"/>
      <c r="AB4" s="2247"/>
      <c r="AC4" s="2245" t="e">
        <f>INDEX(PT_DIFFERENTIATION_CS,MATCH(C4,PT_DIFFERENTIATION_CS_ID,0))</f>
        <v>#N/A</v>
      </c>
      <c r="AD4" s="2246"/>
      <c r="AE4" s="2246"/>
      <c r="AF4" s="2246"/>
      <c r="AG4" s="2246"/>
      <c r="AH4" s="2246"/>
      <c r="AI4" s="2246"/>
      <c r="AJ4" s="2247"/>
      <c r="AK4" s="1185" t="s">
        <v>530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52"/>
      <c r="F5" s="2252"/>
      <c r="G5" s="2252"/>
      <c r="H5" s="2252"/>
      <c r="I5" s="2253" t="e">
        <f>S4&amp;".1"</f>
        <v>#N/A</v>
      </c>
      <c r="J5" s="1290"/>
      <c r="K5" s="1290"/>
      <c r="L5" s="1291"/>
      <c r="P5" s="2255">
        <v>1</v>
      </c>
      <c r="Q5" s="1408"/>
      <c r="R5" s="293"/>
      <c r="S5" s="1420" t="e">
        <f>$I5</f>
        <v>#N/A</v>
      </c>
      <c r="T5" s="223" t="s">
        <v>496</v>
      </c>
      <c r="U5" s="238"/>
      <c r="V5" s="2330"/>
      <c r="W5" s="2331"/>
      <c r="X5" s="2331"/>
      <c r="Y5" s="2331"/>
      <c r="Z5" s="2331"/>
      <c r="AA5" s="2331"/>
      <c r="AB5" s="2332"/>
      <c r="AC5" s="2333"/>
      <c r="AD5" s="2334"/>
      <c r="AE5" s="2334"/>
      <c r="AF5" s="2334"/>
      <c r="AG5" s="2334"/>
      <c r="AH5" s="2334"/>
      <c r="AI5" s="2334"/>
      <c r="AJ5" s="2335"/>
      <c r="AK5" s="1185" t="s">
        <v>497</v>
      </c>
      <c r="AM5" s="437"/>
      <c r="AN5" s="437" t="str">
        <f t="shared" si="0"/>
        <v>Наименование признака дифференциации</v>
      </c>
      <c r="AO5" s="437"/>
      <c r="AP5" s="437"/>
      <c r="AQ5" s="1082">
        <v>0</v>
      </c>
    </row>
    <row r="6" spans="1:43" ht="23.25" hidden="1" customHeight="1">
      <c r="A6" s="1290"/>
      <c r="B6" s="1290"/>
      <c r="C6" s="1290"/>
      <c r="D6" s="1290"/>
      <c r="E6" s="2252"/>
      <c r="F6" s="2252"/>
      <c r="G6" s="2252"/>
      <c r="H6" s="2252"/>
      <c r="I6" s="2254"/>
      <c r="J6" s="2253" t="e">
        <f>I5&amp;".1"</f>
        <v>#N/A</v>
      </c>
      <c r="K6" s="1290"/>
      <c r="L6" s="1291" t="s">
        <v>412</v>
      </c>
      <c r="P6" s="2255"/>
      <c r="Q6" s="2255">
        <v>1</v>
      </c>
      <c r="R6" s="294"/>
      <c r="S6" s="1420" t="e">
        <f>$J6</f>
        <v>#N/A</v>
      </c>
      <c r="T6" s="224" t="s">
        <v>413</v>
      </c>
      <c r="U6" s="238"/>
      <c r="V6" s="2239"/>
      <c r="W6" s="2240"/>
      <c r="X6" s="2240"/>
      <c r="Y6" s="2240"/>
      <c r="Z6" s="2240"/>
      <c r="AA6" s="2240"/>
      <c r="AB6" s="2241"/>
      <c r="AC6" s="2239"/>
      <c r="AD6" s="2240"/>
      <c r="AE6" s="2240"/>
      <c r="AF6" s="2240"/>
      <c r="AG6" s="2240"/>
      <c r="AH6" s="2240"/>
      <c r="AI6" s="2240"/>
      <c r="AJ6" s="2241"/>
      <c r="AK6" s="1234" t="s">
        <v>498</v>
      </c>
      <c r="AM6" s="437"/>
      <c r="AN6" s="437" t="str">
        <f t="shared" si="0"/>
        <v>Группа потребителей</v>
      </c>
      <c r="AO6" s="437"/>
      <c r="AP6" s="437"/>
      <c r="AQ6" s="1082">
        <v>0</v>
      </c>
    </row>
    <row r="7" spans="1:43" ht="23.25" hidden="1" customHeight="1">
      <c r="A7" s="1290"/>
      <c r="B7" s="1290"/>
      <c r="C7" s="1290"/>
      <c r="D7" s="1290"/>
      <c r="E7" s="2252"/>
      <c r="F7" s="2252"/>
      <c r="G7" s="2252"/>
      <c r="H7" s="2252"/>
      <c r="I7" s="2254"/>
      <c r="J7" s="2254"/>
      <c r="K7" s="2253" t="e">
        <f>J6&amp;".1"</f>
        <v>#N/A</v>
      </c>
      <c r="L7" s="1291"/>
      <c r="P7" s="2255"/>
      <c r="Q7" s="2255"/>
      <c r="R7" s="294">
        <v>1</v>
      </c>
      <c r="S7" s="1420" t="e">
        <f>$K7</f>
        <v>#N/A</v>
      </c>
      <c r="T7" s="1364"/>
      <c r="U7" s="238"/>
      <c r="V7" s="688"/>
      <c r="W7" s="688"/>
      <c r="X7" s="1184"/>
      <c r="Y7" s="2256"/>
      <c r="Z7" s="2126" t="s">
        <v>66</v>
      </c>
      <c r="AA7" s="2256"/>
      <c r="AB7" s="2126" t="s">
        <v>66</v>
      </c>
      <c r="AC7" s="688"/>
      <c r="AD7" s="688"/>
      <c r="AE7" s="1184"/>
      <c r="AF7" s="2256"/>
      <c r="AG7" s="2126" t="s">
        <v>66</v>
      </c>
      <c r="AH7" s="2258"/>
      <c r="AI7" s="2126" t="s">
        <v>66</v>
      </c>
      <c r="AJ7" s="1365"/>
      <c r="AK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52"/>
      <c r="F8" s="2252"/>
      <c r="G8" s="2252"/>
      <c r="H8" s="2252"/>
      <c r="I8" s="2254"/>
      <c r="J8" s="2254"/>
      <c r="K8" s="2253"/>
      <c r="L8" s="1291"/>
      <c r="P8" s="2255"/>
      <c r="Q8" s="2255"/>
      <c r="R8" s="294"/>
      <c r="S8" s="1417"/>
      <c r="T8" s="238"/>
      <c r="U8" s="238"/>
      <c r="V8" s="263"/>
      <c r="W8" s="263"/>
      <c r="X8" s="266" t="str">
        <f>Y7&amp;"-"&amp;AA7</f>
        <v>-</v>
      </c>
      <c r="Y8" s="2257"/>
      <c r="Z8" s="2126"/>
      <c r="AA8" s="2257"/>
      <c r="AB8" s="2126"/>
      <c r="AC8" s="263"/>
      <c r="AD8" s="263"/>
      <c r="AE8" s="266" t="str">
        <f>AF7&amp;"-"&amp;AH7</f>
        <v>-</v>
      </c>
      <c r="AF8" s="2257"/>
      <c r="AG8" s="2126"/>
      <c r="AH8" s="2259"/>
      <c r="AI8" s="2126"/>
      <c r="AJ8" s="1366"/>
      <c r="AK8" s="2336"/>
      <c r="AM8" s="437"/>
      <c r="AN8" s="437" t="str">
        <f t="shared" si="0"/>
        <v/>
      </c>
      <c r="AO8" s="437"/>
      <c r="AP8" s="437"/>
      <c r="AQ8" s="1082">
        <v>0</v>
      </c>
    </row>
    <row r="9" spans="1:43" ht="21" hidden="1" customHeight="1">
      <c r="A9" s="1290"/>
      <c r="B9" s="1290"/>
      <c r="C9" s="1290"/>
      <c r="D9" s="1290"/>
      <c r="E9" s="2252"/>
      <c r="F9" s="2252"/>
      <c r="G9" s="2252"/>
      <c r="H9" s="2252"/>
      <c r="I9" s="2254"/>
      <c r="J9" s="2253"/>
      <c r="K9" s="1290"/>
      <c r="L9" s="1291"/>
      <c r="P9" s="2255"/>
      <c r="Q9" s="2255"/>
      <c r="R9" s="293"/>
      <c r="S9" s="1205"/>
      <c r="T9" s="225" t="s">
        <v>499</v>
      </c>
      <c r="U9" s="304"/>
      <c r="V9" s="304"/>
      <c r="W9" s="304"/>
      <c r="X9" s="304"/>
      <c r="Y9" s="304"/>
      <c r="Z9" s="304"/>
      <c r="AA9" s="304"/>
      <c r="AB9" s="304"/>
      <c r="AC9" s="304"/>
      <c r="AD9" s="304"/>
      <c r="AE9" s="304"/>
      <c r="AF9" s="304"/>
      <c r="AG9" s="304"/>
      <c r="AH9" s="304"/>
      <c r="AI9" s="304"/>
      <c r="AJ9" s="304"/>
      <c r="AK9" s="1185" t="s">
        <v>500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52"/>
      <c r="F10" s="2252"/>
      <c r="G10" s="2252"/>
      <c r="H10" s="2252"/>
      <c r="I10" s="2253"/>
      <c r="J10" s="1290"/>
      <c r="K10" s="1290"/>
      <c r="L10" s="1291"/>
      <c r="P10" s="2255"/>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52"/>
      <c r="F12" s="2251"/>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49"/>
      <c r="AG15" s="2248" t="s">
        <v>66</v>
      </c>
      <c r="AH15" s="2249"/>
      <c r="AI15" s="2248" t="s">
        <v>66</v>
      </c>
      <c r="AQ15" s="1082">
        <v>0</v>
      </c>
    </row>
    <row r="16" spans="1:43" ht="14.25" hidden="1" customHeight="1">
      <c r="AC16" s="1287"/>
      <c r="AD16" s="1287"/>
      <c r="AE16" s="266" t="str">
        <f>AF15&amp;"-"&amp;AH15</f>
        <v>-</v>
      </c>
      <c r="AF16" s="2248"/>
      <c r="AG16" s="2248"/>
      <c r="AH16" s="2248"/>
      <c r="AI16" s="2248"/>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70"/>
      <c r="AQ24" s="1082">
        <v>14</v>
      </c>
    </row>
    <row r="25" spans="1:43"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64"/>
      <c r="AC27" s="2244" t="str">
        <f>IF(TITLE_NAME_OR_PR_CHANGE="",IF(TITLE_NAME_OR_PR="","",TITLE_NAME_OR_PR),TITLE_NAME_OR_PR_CHANGE)</f>
        <v/>
      </c>
      <c r="AD27" s="2244"/>
      <c r="AE27" s="2244"/>
      <c r="AF27" s="2244"/>
      <c r="AG27" s="2244"/>
      <c r="AH27" s="2244"/>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64"/>
      <c r="AC28" s="2243">
        <f>IF(TITLE_DATE_PR_CHANGE="",IF(TITLE_DATE_PR="","",TITLE_DATE_PR),TITLE_DATE_PR_CHANGE)</f>
        <v>45777</v>
      </c>
      <c r="AD28" s="2243"/>
      <c r="AE28" s="2243"/>
      <c r="AF28" s="2243"/>
      <c r="AG28" s="2243"/>
      <c r="AH28" s="2243"/>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64"/>
      <c r="AC29" s="2244" t="str">
        <f>IF(TITLE_NUMBER_PR_CHANGE="",IF(TITLE_NUMBER_PR="","",TITLE_NUMBER_PR),TITLE_NUMBER_PR_CHANGE)</f>
        <v>466</v>
      </c>
      <c r="AD29" s="2244"/>
      <c r="AE29" s="2244"/>
      <c r="AF29" s="2244"/>
      <c r="AG29" s="2244"/>
      <c r="AH29" s="2244"/>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64"/>
      <c r="AC30" s="2244" t="str">
        <f>IF(TITLE_IST_PUB_CHANGE="",IF(TITLE_IST_PUB="","",TITLE_IST_PUB),TITLE_IST_PUB_CHANGE)</f>
        <v/>
      </c>
      <c r="AD30" s="2244"/>
      <c r="AE30" s="2244"/>
      <c r="AF30" s="2244"/>
      <c r="AG30" s="2244"/>
      <c r="AH30" s="2244"/>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64"/>
      <c r="AC32" s="2243">
        <f>IF(TITLE_DATE_PR_CHANGE="",IF(TITLE_DATE_PR="","",TITLE_DATE_PR),TITLE_DATE_PR_CHANGE)</f>
        <v>45777</v>
      </c>
      <c r="AD32" s="2243"/>
      <c r="AE32" s="2243"/>
      <c r="AF32" s="2243"/>
      <c r="AG32" s="2243"/>
      <c r="AH32" s="2243"/>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64"/>
      <c r="AC33" s="2244" t="str">
        <f>IF(TITLE_NUMBER_PR_CHANGE="",IF(TITLE_NUMBER_PR="","",TITLE_NUMBER_PR),TITLE_NUMBER_PR_CHANGE)</f>
        <v>466</v>
      </c>
      <c r="AD33" s="2244"/>
      <c r="AE33" s="2244"/>
      <c r="AF33" s="2244"/>
      <c r="AG33" s="2244"/>
      <c r="AH33" s="2244"/>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63"/>
      <c r="W35" s="2263"/>
      <c r="X35" s="2263"/>
      <c r="Y35" s="2263"/>
      <c r="Z35" s="2263"/>
      <c r="AA35" s="2263"/>
      <c r="AB35" s="2263"/>
      <c r="AC35" s="2263"/>
      <c r="AD35" s="2263"/>
      <c r="AE35" s="2263"/>
      <c r="AF35" s="2263"/>
      <c r="AG35" s="2263"/>
      <c r="AH35" s="2263"/>
      <c r="AI35" s="2263"/>
      <c r="AQ35" s="1082">
        <v>14</v>
      </c>
    </row>
    <row r="36" spans="1:43"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t="s">
        <v>307</v>
      </c>
      <c r="AQ36" s="1082">
        <v>14</v>
      </c>
    </row>
    <row r="37" spans="1:43" ht="14.65" customHeight="1">
      <c r="Q37" s="313"/>
      <c r="R37" s="313"/>
      <c r="S37" s="2264" t="s">
        <v>88</v>
      </c>
      <c r="T37" s="2212" t="s">
        <v>431</v>
      </c>
      <c r="U37" s="239"/>
      <c r="V37" s="2265" t="s">
        <v>432</v>
      </c>
      <c r="W37" s="2266"/>
      <c r="X37" s="2266"/>
      <c r="Y37" s="2266"/>
      <c r="Z37" s="2266"/>
      <c r="AA37" s="2267"/>
      <c r="AB37" s="2268" t="s">
        <v>433</v>
      </c>
      <c r="AC37" s="2265" t="s">
        <v>432</v>
      </c>
      <c r="AD37" s="2266"/>
      <c r="AE37" s="2266"/>
      <c r="AF37" s="2266"/>
      <c r="AG37" s="2266"/>
      <c r="AH37" s="2267"/>
      <c r="AI37" s="2268" t="s">
        <v>434</v>
      </c>
      <c r="AJ37" s="2271" t="s">
        <v>435</v>
      </c>
      <c r="AK37" s="2116"/>
      <c r="AQ37" s="1082">
        <v>14</v>
      </c>
    </row>
    <row r="38" spans="1:43" ht="35.65" customHeight="1">
      <c r="Q38" s="313"/>
      <c r="R38" s="313"/>
      <c r="S38" s="2264"/>
      <c r="T38" s="2212"/>
      <c r="U38" s="961"/>
      <c r="V38" s="1410" t="s">
        <v>502</v>
      </c>
      <c r="W38" s="2098" t="s">
        <v>438</v>
      </c>
      <c r="X38" s="2097"/>
      <c r="Y38" s="2098" t="s">
        <v>439</v>
      </c>
      <c r="Z38" s="2103"/>
      <c r="AA38" s="2097"/>
      <c r="AB38" s="2269"/>
      <c r="AC38" s="1410" t="s">
        <v>502</v>
      </c>
      <c r="AD38" s="2098" t="s">
        <v>438</v>
      </c>
      <c r="AE38" s="2097"/>
      <c r="AF38" s="2098" t="s">
        <v>439</v>
      </c>
      <c r="AG38" s="2103"/>
      <c r="AH38" s="2097"/>
      <c r="AI38" s="2269"/>
      <c r="AJ38" s="2272"/>
      <c r="AK38" s="2116"/>
      <c r="AQ38" s="1082">
        <v>34</v>
      </c>
    </row>
    <row r="39" spans="1:43" ht="90.4" customHeight="1">
      <c r="A39" s="1297"/>
      <c r="B39" s="1297" t="s">
        <v>136</v>
      </c>
      <c r="C39" s="1297" t="s">
        <v>137</v>
      </c>
      <c r="D39" s="1297" t="s">
        <v>138</v>
      </c>
      <c r="E39" s="1291" t="s">
        <v>440</v>
      </c>
      <c r="F39" s="1291" t="s">
        <v>441</v>
      </c>
      <c r="G39" s="1291" t="s">
        <v>442</v>
      </c>
      <c r="H39" s="1291"/>
      <c r="I39" s="1291" t="s">
        <v>503</v>
      </c>
      <c r="J39" s="1291" t="s">
        <v>445</v>
      </c>
      <c r="K39" s="1291" t="s">
        <v>504</v>
      </c>
      <c r="L39" s="1291" t="s">
        <v>421</v>
      </c>
      <c r="Q39" s="313"/>
      <c r="R39" s="313"/>
      <c r="S39" s="2264"/>
      <c r="T39" s="2212"/>
      <c r="U39" s="240"/>
      <c r="V39" s="1410" t="s">
        <v>531</v>
      </c>
      <c r="W39" s="1149" t="s">
        <v>532</v>
      </c>
      <c r="X39" s="1149" t="s">
        <v>507</v>
      </c>
      <c r="Y39" s="1416" t="s">
        <v>449</v>
      </c>
      <c r="Z39" s="2217" t="s">
        <v>450</v>
      </c>
      <c r="AA39" s="2231"/>
      <c r="AB39" s="2270"/>
      <c r="AC39" s="1410" t="s">
        <v>531</v>
      </c>
      <c r="AD39" s="1149" t="s">
        <v>532</v>
      </c>
      <c r="AE39" s="1149" t="s">
        <v>507</v>
      </c>
      <c r="AF39" s="1416" t="s">
        <v>449</v>
      </c>
      <c r="AG39" s="2217" t="s">
        <v>450</v>
      </c>
      <c r="AH39" s="2231"/>
      <c r="AI39" s="2270"/>
      <c r="AJ39" s="2273"/>
      <c r="AK39" s="2116"/>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62">
        <f ca="1">OFFSET(Z40,0,-1)+1</f>
        <v>7</v>
      </c>
      <c r="AA40" s="2262"/>
      <c r="AB40" s="1409">
        <f ca="1">OFFSET(AB40,0,-2)+1</f>
        <v>8</v>
      </c>
      <c r="AC40" s="1409">
        <f ca="1">OFFSET(AC40,0,-1)+1</f>
        <v>9</v>
      </c>
      <c r="AD40" s="1409">
        <f ca="1">OFFSET(AD40,0,-1)+1</f>
        <v>10</v>
      </c>
      <c r="AE40" s="1409">
        <f ca="1">OFFSET(AE40,0,-1)+1</f>
        <v>11</v>
      </c>
      <c r="AF40" s="1409">
        <f ca="1">OFFSET(AF40,0,-1)+1</f>
        <v>12</v>
      </c>
      <c r="AG40" s="2262">
        <f ca="1">OFFSET(AG40,0,-1)+1</f>
        <v>13</v>
      </c>
      <c r="AH40" s="2262"/>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51">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52"/>
      <c r="F42" s="2251">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52"/>
      <c r="F43" s="2252"/>
      <c r="G43" s="2251">
        <v>1</v>
      </c>
      <c r="H43" s="1290"/>
      <c r="I43" s="1290"/>
      <c r="J43" s="1290"/>
      <c r="K43" s="1290"/>
      <c r="L43" s="1291"/>
      <c r="M43" s="1292"/>
      <c r="N43" s="1292"/>
      <c r="O43" s="1292"/>
      <c r="P43" s="291"/>
      <c r="Q43" s="289"/>
      <c r="R43" s="290"/>
      <c r="S43" s="1420" t="str">
        <f>INDEX(PT_DIFFERENTIATION_NUM_CS,MATCH(C43,PT_DIFFERENTIATION_CS_ID,0))</f>
        <v>..</v>
      </c>
      <c r="T43" s="247" t="s">
        <v>529</v>
      </c>
      <c r="U43" s="238"/>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85" t="s">
        <v>530</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534</v>
      </c>
      <c r="E44" s="2252"/>
      <c r="F44" s="2252"/>
      <c r="G44" s="2252"/>
      <c r="H44" s="2252"/>
      <c r="I44" s="2253" t="str">
        <f>S43&amp;".1"</f>
        <v>...1</v>
      </c>
      <c r="J44" s="1290"/>
      <c r="K44" s="1290"/>
      <c r="L44" s="1291"/>
      <c r="P44" s="2255">
        <v>1</v>
      </c>
      <c r="Q44" s="1408"/>
      <c r="R44" s="293"/>
      <c r="S44" s="1420" t="str">
        <f>$I44</f>
        <v>...1</v>
      </c>
      <c r="T44" s="223" t="s">
        <v>496</v>
      </c>
      <c r="U44" s="238"/>
      <c r="V44" s="2330"/>
      <c r="W44" s="2331"/>
      <c r="X44" s="2331"/>
      <c r="Y44" s="2331"/>
      <c r="Z44" s="2331"/>
      <c r="AA44" s="2331"/>
      <c r="AB44" s="2332"/>
      <c r="AC44" s="2333"/>
      <c r="AD44" s="2334"/>
      <c r="AE44" s="2334"/>
      <c r="AF44" s="2334"/>
      <c r="AG44" s="2334"/>
      <c r="AH44" s="2334"/>
      <c r="AI44" s="2334"/>
      <c r="AJ44" s="2335"/>
      <c r="AK44" s="1185" t="s">
        <v>497</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534</v>
      </c>
      <c r="E45" s="2252"/>
      <c r="F45" s="2252"/>
      <c r="G45" s="2252"/>
      <c r="H45" s="2252"/>
      <c r="I45" s="2254"/>
      <c r="J45" s="2253" t="str">
        <f>I44&amp;".1"</f>
        <v>...1.1</v>
      </c>
      <c r="K45" s="1290"/>
      <c r="L45" s="1291" t="s">
        <v>412</v>
      </c>
      <c r="P45" s="2255"/>
      <c r="Q45" s="2255">
        <v>1</v>
      </c>
      <c r="R45" s="294"/>
      <c r="S45" s="1420" t="str">
        <f>$J45</f>
        <v>...1.1</v>
      </c>
      <c r="T45" s="224" t="s">
        <v>413</v>
      </c>
      <c r="U45" s="238"/>
      <c r="V45" s="2239"/>
      <c r="W45" s="2240"/>
      <c r="X45" s="2240"/>
      <c r="Y45" s="2240"/>
      <c r="Z45" s="2240"/>
      <c r="AA45" s="2240"/>
      <c r="AB45" s="2241"/>
      <c r="AC45" s="2239"/>
      <c r="AD45" s="2240"/>
      <c r="AE45" s="2240"/>
      <c r="AF45" s="2240"/>
      <c r="AG45" s="2240"/>
      <c r="AH45" s="2240"/>
      <c r="AI45" s="2240"/>
      <c r="AJ45" s="2241"/>
      <c r="AK45" s="1234" t="s">
        <v>498</v>
      </c>
      <c r="AM45" s="437"/>
      <c r="AN45" s="437" t="str">
        <f t="shared" si="1"/>
        <v>Группа потребителей</v>
      </c>
      <c r="AO45" s="437"/>
      <c r="AP45" s="437"/>
      <c r="AQ45" s="1082">
        <v>23</v>
      </c>
    </row>
    <row r="46" spans="1:43" ht="24" customHeight="1">
      <c r="A46" s="1290" t="s">
        <v>277</v>
      </c>
      <c r="B46" s="1290" t="s">
        <v>278</v>
      </c>
      <c r="C46" s="1290" t="s">
        <v>279</v>
      </c>
      <c r="D46" s="1290" t="s">
        <v>534</v>
      </c>
      <c r="E46" s="2252"/>
      <c r="F46" s="2252"/>
      <c r="G46" s="2252"/>
      <c r="H46" s="2252"/>
      <c r="I46" s="2254"/>
      <c r="J46" s="2254"/>
      <c r="K46" s="2253" t="str">
        <f>J45&amp;".1"</f>
        <v>...1.1.1</v>
      </c>
      <c r="L46" s="1291"/>
      <c r="P46" s="2255"/>
      <c r="Q46" s="2255"/>
      <c r="R46" s="294">
        <v>1</v>
      </c>
      <c r="S46" s="1420" t="str">
        <f>$K46</f>
        <v>...1.1.1</v>
      </c>
      <c r="T46" s="1364"/>
      <c r="U46" s="238"/>
      <c r="V46" s="1287"/>
      <c r="W46" s="1287"/>
      <c r="X46" s="1288"/>
      <c r="Y46" s="2249"/>
      <c r="Z46" s="2248" t="s">
        <v>66</v>
      </c>
      <c r="AA46" s="2249"/>
      <c r="AB46" s="2248" t="s">
        <v>66</v>
      </c>
      <c r="AC46" s="688"/>
      <c r="AD46" s="688"/>
      <c r="AE46" s="1184"/>
      <c r="AF46" s="2256"/>
      <c r="AG46" s="2126" t="s">
        <v>66</v>
      </c>
      <c r="AH46" s="2258"/>
      <c r="AI46" s="2126" t="s">
        <v>19</v>
      </c>
      <c r="AJ46" s="1365"/>
      <c r="AK46"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534</v>
      </c>
      <c r="E47" s="2252"/>
      <c r="F47" s="2252"/>
      <c r="G47" s="2252"/>
      <c r="H47" s="2252"/>
      <c r="I47" s="2254"/>
      <c r="J47" s="2254"/>
      <c r="K47" s="2253"/>
      <c r="L47" s="1291"/>
      <c r="P47" s="2255"/>
      <c r="Q47" s="2255"/>
      <c r="R47" s="294"/>
      <c r="S47" s="1417"/>
      <c r="T47" s="238"/>
      <c r="U47" s="238"/>
      <c r="V47" s="1287"/>
      <c r="W47" s="1287"/>
      <c r="X47" s="266" t="str">
        <f>Y46&amp;"-"&amp;AA46</f>
        <v>-</v>
      </c>
      <c r="Y47" s="2248"/>
      <c r="Z47" s="2248"/>
      <c r="AA47" s="2248"/>
      <c r="AB47" s="2248"/>
      <c r="AC47" s="263"/>
      <c r="AD47" s="263"/>
      <c r="AE47" s="266" t="str">
        <f>AF46&amp;"-"&amp;AH46</f>
        <v>-</v>
      </c>
      <c r="AF47" s="2257"/>
      <c r="AG47" s="2126"/>
      <c r="AH47" s="2259"/>
      <c r="AI47" s="2126"/>
      <c r="AJ47" s="1366"/>
      <c r="AK47" s="2336"/>
      <c r="AM47" s="437"/>
      <c r="AN47" s="437" t="str">
        <f t="shared" si="1"/>
        <v/>
      </c>
      <c r="AO47" s="437"/>
      <c r="AP47" s="437"/>
      <c r="AQ47" s="1082">
        <v>0</v>
      </c>
    </row>
    <row r="48" spans="1:43" ht="21" customHeight="1">
      <c r="A48" s="1290" t="s">
        <v>277</v>
      </c>
      <c r="B48" s="1290" t="s">
        <v>278</v>
      </c>
      <c r="C48" s="1290" t="s">
        <v>279</v>
      </c>
      <c r="D48" s="1290" t="s">
        <v>534</v>
      </c>
      <c r="E48" s="2252"/>
      <c r="F48" s="2252"/>
      <c r="G48" s="2252"/>
      <c r="H48" s="2252"/>
      <c r="I48" s="2254"/>
      <c r="J48" s="2253"/>
      <c r="K48" s="1290"/>
      <c r="L48" s="1291"/>
      <c r="P48" s="2255"/>
      <c r="Q48" s="2255"/>
      <c r="R48" s="293"/>
      <c r="S48" s="1205"/>
      <c r="T48" s="225" t="s">
        <v>499</v>
      </c>
      <c r="U48" s="304"/>
      <c r="V48" s="304"/>
      <c r="W48" s="304"/>
      <c r="X48" s="304"/>
      <c r="Y48" s="304"/>
      <c r="Z48" s="304"/>
      <c r="AA48" s="304"/>
      <c r="AB48" s="304"/>
      <c r="AC48" s="304"/>
      <c r="AD48" s="304"/>
      <c r="AE48" s="304"/>
      <c r="AF48" s="304"/>
      <c r="AG48" s="304"/>
      <c r="AH48" s="304"/>
      <c r="AI48" s="304"/>
      <c r="AJ48" s="304"/>
      <c r="AK48" s="1185" t="s">
        <v>500</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534</v>
      </c>
      <c r="E49" s="2252"/>
      <c r="F49" s="2252"/>
      <c r="G49" s="2252"/>
      <c r="H49" s="2252"/>
      <c r="I49" s="2253"/>
      <c r="J49" s="1290"/>
      <c r="K49" s="1290"/>
      <c r="L49" s="1291"/>
      <c r="P49" s="2255"/>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534</v>
      </c>
      <c r="E50" s="2252"/>
      <c r="F50" s="2252"/>
      <c r="G50" s="2252"/>
      <c r="H50" s="2251"/>
      <c r="I50" s="1290"/>
      <c r="J50" s="1290"/>
      <c r="K50" s="1290"/>
      <c r="L50" s="1291"/>
      <c r="M50" s="1292"/>
      <c r="N50" s="1292"/>
      <c r="O50" s="474"/>
      <c r="P50" s="297"/>
      <c r="Q50" s="312"/>
      <c r="R50" s="292"/>
      <c r="S50" s="1205"/>
      <c r="T50" s="309" t="s">
        <v>501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52"/>
      <c r="F51" s="2251"/>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51"/>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50"/>
      <c r="U55" s="2250"/>
      <c r="V55" s="2250"/>
      <c r="W55" s="2250"/>
      <c r="X55" s="2250"/>
      <c r="Y55" s="2250"/>
      <c r="Z55" s="2250"/>
      <c r="AA55" s="2250"/>
      <c r="AB55" s="2250"/>
      <c r="AC55" s="2250"/>
      <c r="AD55" s="2250"/>
      <c r="AE55" s="2250"/>
      <c r="AF55" s="2250"/>
      <c r="AG55" s="2250"/>
      <c r="AH55" s="2250"/>
      <c r="AI55" s="2250"/>
      <c r="AJ55" s="2250"/>
      <c r="AK55" s="2250"/>
      <c r="AQ55" s="1082">
        <v>14</v>
      </c>
    </row>
    <row r="56" spans="1:43" ht="14.65" customHeight="1">
      <c r="O56" s="474"/>
      <c r="AQ56" s="1082">
        <v>14</v>
      </c>
    </row>
    <row r="57" spans="1:43" ht="14.65" customHeight="1">
      <c r="O57" s="474"/>
      <c r="S57" s="1180"/>
      <c r="T57" s="2250"/>
      <c r="U57" s="2250"/>
      <c r="V57" s="2250"/>
      <c r="W57" s="2250"/>
      <c r="X57" s="2250"/>
      <c r="Y57" s="2250"/>
      <c r="Z57" s="2250"/>
      <c r="AA57" s="2250"/>
      <c r="AB57" s="2250"/>
      <c r="AC57" s="2250"/>
      <c r="AD57" s="2250"/>
      <c r="AE57" s="2250"/>
      <c r="AF57" s="2250"/>
      <c r="AG57" s="2250"/>
      <c r="AH57" s="2250"/>
      <c r="AI57" s="2250"/>
      <c r="AJ57" s="2250"/>
      <c r="AK57" s="225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51">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52"/>
      <c r="F3" s="2251">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85" t="s">
        <v>404</v>
      </c>
      <c r="BE3" s="437"/>
      <c r="BF3" s="437" t="str">
        <f t="shared" si="0"/>
        <v>Территория действия тарифа</v>
      </c>
      <c r="BG3" s="437"/>
      <c r="BH3" s="437"/>
      <c r="BI3" s="1082">
        <v>0</v>
      </c>
    </row>
    <row r="4" spans="1:61" ht="33.75" hidden="1" customHeight="1">
      <c r="A4" s="1290"/>
      <c r="B4" s="1290"/>
      <c r="C4" s="1290"/>
      <c r="D4" s="1290"/>
      <c r="E4" s="2252"/>
      <c r="F4" s="2252"/>
      <c r="G4" s="2251">
        <v>1</v>
      </c>
      <c r="H4" s="1290"/>
      <c r="I4" s="1290"/>
      <c r="J4" s="1290"/>
      <c r="K4" s="1290"/>
      <c r="L4" s="1291"/>
      <c r="M4" s="1292"/>
      <c r="N4" s="1292"/>
      <c r="O4" s="1292"/>
      <c r="P4" s="1339"/>
      <c r="Q4" s="1338"/>
      <c r="R4" s="290"/>
      <c r="S4" s="1420" t="e">
        <f>INDEX(PT_DIFFERENTIATION_NUM_CS,MATCH(C4,PT_DIFFERENTIATION_CS_ID,0))</f>
        <v>#N/A</v>
      </c>
      <c r="T4" s="247" t="s">
        <v>529</v>
      </c>
      <c r="U4" s="238"/>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85" t="s">
        <v>530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52"/>
      <c r="F5" s="2252"/>
      <c r="G5" s="2252"/>
      <c r="H5" s="2251">
        <v>1</v>
      </c>
      <c r="I5" s="1270"/>
      <c r="J5" s="1270"/>
      <c r="K5" s="1270"/>
      <c r="L5" s="1273"/>
      <c r="M5" s="1242"/>
      <c r="N5" s="1242"/>
      <c r="O5" s="1242"/>
      <c r="P5" s="1424"/>
      <c r="Q5" s="1425"/>
      <c r="R5" s="294"/>
      <c r="S5" s="972"/>
      <c r="T5" s="1426"/>
      <c r="U5" s="1311"/>
      <c r="V5" s="2292"/>
      <c r="W5" s="2292"/>
      <c r="X5" s="2292"/>
      <c r="Y5" s="2292"/>
      <c r="Z5" s="2292"/>
      <c r="AA5" s="2292"/>
      <c r="AB5" s="2292"/>
      <c r="AC5" s="2293"/>
      <c r="AD5" s="2291"/>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3"/>
      <c r="BC5" s="1312" t="s">
        <v>408</v>
      </c>
      <c r="BE5" s="437"/>
      <c r="BF5" s="437" t="str">
        <f t="shared" si="0"/>
        <v/>
      </c>
      <c r="BG5" s="437"/>
      <c r="BH5" s="437"/>
      <c r="BI5" s="448">
        <v>0</v>
      </c>
    </row>
    <row r="6" spans="1:61" s="1569" customFormat="1" ht="14.25" hidden="1" customHeight="1">
      <c r="A6" s="1270"/>
      <c r="B6" s="1270"/>
      <c r="C6" s="1270"/>
      <c r="D6" s="1270"/>
      <c r="E6" s="2252"/>
      <c r="F6" s="2252"/>
      <c r="G6" s="2252"/>
      <c r="H6" s="2252"/>
      <c r="I6" s="2253" t="str">
        <f>S5&amp;".1"</f>
        <v>.1</v>
      </c>
      <c r="J6" s="1270"/>
      <c r="K6" s="1270"/>
      <c r="L6" s="1273" t="s">
        <v>409</v>
      </c>
      <c r="M6" s="447"/>
      <c r="N6" s="447"/>
      <c r="O6" s="447"/>
      <c r="P6" s="2255">
        <v>1</v>
      </c>
      <c r="Q6" s="1408"/>
      <c r="R6" s="293"/>
      <c r="S6" s="972"/>
      <c r="T6" s="1310"/>
      <c r="U6" s="1311"/>
      <c r="V6" s="2292"/>
      <c r="W6" s="2292"/>
      <c r="X6" s="2292"/>
      <c r="Y6" s="2292"/>
      <c r="Z6" s="2292"/>
      <c r="AA6" s="2292"/>
      <c r="AB6" s="2292"/>
      <c r="AC6" s="2293"/>
      <c r="AD6" s="2291"/>
      <c r="AE6" s="2292"/>
      <c r="AF6" s="2292"/>
      <c r="AG6" s="2292"/>
      <c r="AH6" s="2292"/>
      <c r="AI6" s="2292"/>
      <c r="AJ6" s="2292"/>
      <c r="AK6" s="2292"/>
      <c r="AL6" s="2292"/>
      <c r="AM6" s="2292"/>
      <c r="AN6" s="2292"/>
      <c r="AO6" s="2292"/>
      <c r="AP6" s="2292"/>
      <c r="AQ6" s="2292"/>
      <c r="AR6" s="2292"/>
      <c r="AS6" s="2292"/>
      <c r="AT6" s="2292"/>
      <c r="AU6" s="2292"/>
      <c r="AV6" s="2292"/>
      <c r="AW6" s="2292"/>
      <c r="AX6" s="2292"/>
      <c r="AY6" s="2292"/>
      <c r="AZ6" s="2292"/>
      <c r="BA6" s="2292"/>
      <c r="BB6" s="2293"/>
      <c r="BC6" s="1312"/>
      <c r="BE6" s="437"/>
      <c r="BF6" s="437" t="str">
        <f t="shared" si="0"/>
        <v/>
      </c>
      <c r="BG6" s="437"/>
      <c r="BH6" s="437"/>
      <c r="BI6" s="448">
        <v>0</v>
      </c>
    </row>
    <row r="7" spans="1:61" s="1569" customFormat="1" ht="14.25" hidden="1" customHeight="1">
      <c r="A7" s="1270"/>
      <c r="B7" s="1270"/>
      <c r="C7" s="1270"/>
      <c r="D7" s="1270"/>
      <c r="E7" s="2252"/>
      <c r="F7" s="2252"/>
      <c r="G7" s="2252"/>
      <c r="H7" s="2252"/>
      <c r="I7" s="2254"/>
      <c r="J7" s="2253" t="str">
        <f>S5&amp;".1"</f>
        <v>.1</v>
      </c>
      <c r="K7" s="1270"/>
      <c r="L7" s="1273"/>
      <c r="M7" s="447"/>
      <c r="N7" s="447"/>
      <c r="O7" s="447"/>
      <c r="P7" s="2255"/>
      <c r="Q7" s="2255">
        <v>1</v>
      </c>
      <c r="R7" s="294"/>
      <c r="S7" s="972"/>
      <c r="T7" s="1326"/>
      <c r="U7" s="1311"/>
      <c r="V7" s="2292"/>
      <c r="W7" s="2292"/>
      <c r="X7" s="2292"/>
      <c r="Y7" s="2292"/>
      <c r="Z7" s="2292"/>
      <c r="AA7" s="2292"/>
      <c r="AB7" s="2292"/>
      <c r="AC7" s="2293"/>
      <c r="AD7" s="2291"/>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3"/>
      <c r="BC7" s="1312"/>
      <c r="BE7" s="437"/>
      <c r="BF7" s="437" t="str">
        <f t="shared" si="0"/>
        <v/>
      </c>
      <c r="BG7" s="437"/>
      <c r="BH7" s="437"/>
      <c r="BI7" s="448">
        <v>0</v>
      </c>
    </row>
    <row r="8" spans="1:61" ht="11.25" hidden="1" customHeight="1">
      <c r="A8" s="1290"/>
      <c r="B8" s="1290"/>
      <c r="C8" s="1290"/>
      <c r="D8" s="1290"/>
      <c r="E8" s="2252"/>
      <c r="F8" s="2252"/>
      <c r="G8" s="2252"/>
      <c r="H8" s="2252"/>
      <c r="I8" s="2254"/>
      <c r="J8" s="2254"/>
      <c r="K8" s="2253" t="e">
        <f>S4&amp;".1"</f>
        <v>#N/A</v>
      </c>
      <c r="L8" s="1291"/>
      <c r="P8" s="2255"/>
      <c r="Q8" s="2255"/>
      <c r="R8" s="2320">
        <v>1</v>
      </c>
      <c r="S8" s="2317" t="e">
        <f>$K8</f>
        <v>#N/A</v>
      </c>
      <c r="T8" s="2339"/>
      <c r="U8" s="238"/>
      <c r="V8" s="688"/>
      <c r="W8" s="1184"/>
      <c r="X8" s="688"/>
      <c r="Y8" s="1184"/>
      <c r="Z8" s="1660"/>
      <c r="AA8" s="1396" t="s">
        <v>66</v>
      </c>
      <c r="AB8" s="1660"/>
      <c r="AC8" s="1396" t="s">
        <v>66</v>
      </c>
      <c r="AD8" s="2176" t="s">
        <v>66</v>
      </c>
      <c r="AE8" s="2313"/>
      <c r="AF8" s="2208">
        <v>1</v>
      </c>
      <c r="AG8" s="2338"/>
      <c r="AH8" s="2126" t="s">
        <v>66</v>
      </c>
      <c r="AI8" s="2313"/>
      <c r="AJ8" s="2208">
        <v>1</v>
      </c>
      <c r="AK8" s="2327" t="s">
        <v>28</v>
      </c>
      <c r="AL8" s="2126" t="s">
        <v>66</v>
      </c>
      <c r="AM8" s="2185"/>
      <c r="AN8" s="2208">
        <v>1</v>
      </c>
      <c r="AO8" s="2342"/>
      <c r="AP8" s="2343" t="s">
        <v>66</v>
      </c>
      <c r="AQ8" s="249"/>
      <c r="AR8" s="1413">
        <v>1</v>
      </c>
      <c r="AS8" s="1419" t="s">
        <v>28</v>
      </c>
      <c r="AT8" s="688"/>
      <c r="AU8" s="1184"/>
      <c r="AV8" s="688"/>
      <c r="AW8" s="1184"/>
      <c r="AX8" s="1660"/>
      <c r="AY8" s="1396" t="s">
        <v>66</v>
      </c>
      <c r="AZ8" s="1660"/>
      <c r="BA8" s="1396" t="s">
        <v>66</v>
      </c>
      <c r="BB8" s="1275"/>
      <c r="BC8" s="2274" t="s">
        <v>514</v>
      </c>
      <c r="BE8" s="437"/>
      <c r="BF8" s="437" t="str">
        <f t="shared" si="0"/>
        <v/>
      </c>
      <c r="BG8" s="437"/>
      <c r="BH8" s="437"/>
      <c r="BI8" s="1082">
        <v>0</v>
      </c>
    </row>
    <row r="9" spans="1:61" ht="11.25" hidden="1" customHeight="1">
      <c r="A9" s="1290"/>
      <c r="B9" s="1290"/>
      <c r="C9" s="1290"/>
      <c r="D9" s="1290"/>
      <c r="E9" s="2252"/>
      <c r="F9" s="2252"/>
      <c r="G9" s="2252"/>
      <c r="H9" s="2252"/>
      <c r="I9" s="2254"/>
      <c r="J9" s="2254"/>
      <c r="K9" s="2253"/>
      <c r="L9" s="1291"/>
      <c r="P9" s="2255"/>
      <c r="Q9" s="2255"/>
      <c r="R9" s="2320"/>
      <c r="S9" s="2318"/>
      <c r="T9" s="2340"/>
      <c r="U9" s="238"/>
      <c r="V9" s="1320"/>
      <c r="W9" s="1423"/>
      <c r="X9" s="1320"/>
      <c r="Y9" s="1423"/>
      <c r="Z9" s="1320"/>
      <c r="AA9" s="1320"/>
      <c r="AB9" s="1320"/>
      <c r="AC9" s="1320"/>
      <c r="AD9" s="2177"/>
      <c r="AE9" s="2313"/>
      <c r="AF9" s="2208"/>
      <c r="AG9" s="2338"/>
      <c r="AH9" s="2126"/>
      <c r="AI9" s="2313"/>
      <c r="AJ9" s="2208"/>
      <c r="AK9" s="2327"/>
      <c r="AL9" s="2126"/>
      <c r="AM9" s="2190"/>
      <c r="AN9" s="2208"/>
      <c r="AO9" s="2342"/>
      <c r="AP9" s="2344"/>
      <c r="AQ9" s="254"/>
      <c r="AR9" s="353"/>
      <c r="AS9" s="353" t="s">
        <v>515</v>
      </c>
      <c r="AT9" s="1320"/>
      <c r="AU9" s="1423"/>
      <c r="AV9" s="1320"/>
      <c r="AW9" s="1423"/>
      <c r="AX9" s="1320"/>
      <c r="AY9" s="1320"/>
      <c r="AZ9" s="1320"/>
      <c r="BA9" s="1320"/>
      <c r="BB9" s="1324"/>
      <c r="BC9" s="2275"/>
      <c r="BE9" s="437"/>
      <c r="BF9" s="437"/>
      <c r="BG9" s="437"/>
      <c r="BH9" s="437"/>
      <c r="BI9" s="1082">
        <v>0</v>
      </c>
    </row>
    <row r="10" spans="1:61" ht="11.25" hidden="1" customHeight="1">
      <c r="A10" s="1290"/>
      <c r="B10" s="1290"/>
      <c r="C10" s="1290"/>
      <c r="D10" s="1290"/>
      <c r="E10" s="2252"/>
      <c r="F10" s="2252"/>
      <c r="G10" s="2252"/>
      <c r="H10" s="2252"/>
      <c r="I10" s="2254"/>
      <c r="J10" s="2254"/>
      <c r="K10" s="2253"/>
      <c r="L10" s="1291"/>
      <c r="P10" s="2255"/>
      <c r="Q10" s="2255"/>
      <c r="R10" s="2320"/>
      <c r="S10" s="2318"/>
      <c r="T10" s="2340"/>
      <c r="U10" s="238"/>
      <c r="V10" s="1320"/>
      <c r="W10" s="1423"/>
      <c r="X10" s="1320"/>
      <c r="Y10" s="1423"/>
      <c r="Z10" s="1320"/>
      <c r="AA10" s="1320"/>
      <c r="AB10" s="1320"/>
      <c r="AC10" s="1320"/>
      <c r="AD10" s="2177"/>
      <c r="AE10" s="2313"/>
      <c r="AF10" s="2208"/>
      <c r="AG10" s="2338"/>
      <c r="AH10" s="2126"/>
      <c r="AI10" s="2313"/>
      <c r="AJ10" s="2208"/>
      <c r="AK10" s="2327"/>
      <c r="AL10" s="2126"/>
      <c r="AM10" s="254"/>
      <c r="AN10" s="1427"/>
      <c r="AO10" s="1427" t="s">
        <v>535</v>
      </c>
      <c r="AP10" s="353"/>
      <c r="AQ10" s="353"/>
      <c r="AR10" s="353"/>
      <c r="AS10" s="1320"/>
      <c r="AT10" s="1320"/>
      <c r="AU10" s="1423"/>
      <c r="AV10" s="1320"/>
      <c r="AW10" s="1423"/>
      <c r="AX10" s="1320"/>
      <c r="AY10" s="1320"/>
      <c r="AZ10" s="1320"/>
      <c r="BA10" s="1320"/>
      <c r="BB10" s="1324"/>
      <c r="BC10" s="2275"/>
      <c r="BE10" s="437"/>
      <c r="BF10" s="437"/>
      <c r="BG10" s="437"/>
      <c r="BH10" s="437"/>
      <c r="BI10" s="1082">
        <v>0</v>
      </c>
    </row>
    <row r="11" spans="1:61" ht="11.25" hidden="1" customHeight="1">
      <c r="A11" s="1290"/>
      <c r="B11" s="1290"/>
      <c r="C11" s="1290"/>
      <c r="D11" s="1290"/>
      <c r="E11" s="2252"/>
      <c r="F11" s="2252"/>
      <c r="G11" s="2252"/>
      <c r="H11" s="2252"/>
      <c r="I11" s="2254"/>
      <c r="J11" s="2254"/>
      <c r="K11" s="2253"/>
      <c r="L11" s="1291"/>
      <c r="P11" s="2255"/>
      <c r="Q11" s="2255"/>
      <c r="R11" s="2320"/>
      <c r="S11" s="2318"/>
      <c r="T11" s="2340"/>
      <c r="U11" s="238"/>
      <c r="V11" s="1320"/>
      <c r="W11" s="1423"/>
      <c r="X11" s="1320"/>
      <c r="Y11" s="1423"/>
      <c r="Z11" s="1320"/>
      <c r="AA11" s="1320"/>
      <c r="AB11" s="1320"/>
      <c r="AC11" s="1320"/>
      <c r="AD11" s="2177"/>
      <c r="AE11" s="2313"/>
      <c r="AF11" s="2208"/>
      <c r="AG11" s="2338"/>
      <c r="AH11" s="2126"/>
      <c r="AI11" s="232"/>
      <c r="AJ11" s="352"/>
      <c r="AK11" s="251" t="s">
        <v>536</v>
      </c>
      <c r="AL11" s="1320"/>
      <c r="AM11" s="1320"/>
      <c r="AN11" s="1320"/>
      <c r="AO11" s="1320"/>
      <c r="AP11" s="1320"/>
      <c r="AQ11" s="1320"/>
      <c r="AR11" s="1320"/>
      <c r="AS11" s="1320"/>
      <c r="AT11" s="1320"/>
      <c r="AU11" s="1423"/>
      <c r="AV11" s="1320"/>
      <c r="AW11" s="1423"/>
      <c r="AX11" s="1320"/>
      <c r="AY11" s="1320"/>
      <c r="AZ11" s="1320"/>
      <c r="BA11" s="1320"/>
      <c r="BB11" s="1324"/>
      <c r="BC11" s="2275"/>
      <c r="BE11" s="437"/>
      <c r="BF11" s="437"/>
      <c r="BG11" s="437"/>
      <c r="BH11" s="437"/>
      <c r="BI11" s="1082">
        <v>0</v>
      </c>
    </row>
    <row r="12" spans="1:61" ht="11.25" hidden="1" customHeight="1">
      <c r="A12" s="1290"/>
      <c r="B12" s="1290"/>
      <c r="C12" s="1290"/>
      <c r="D12" s="1290"/>
      <c r="E12" s="2252"/>
      <c r="F12" s="2252"/>
      <c r="G12" s="2252"/>
      <c r="H12" s="2252"/>
      <c r="I12" s="2254"/>
      <c r="J12" s="2254"/>
      <c r="K12" s="2253"/>
      <c r="L12" s="1291"/>
      <c r="P12" s="2255"/>
      <c r="Q12" s="2255"/>
      <c r="R12" s="2320"/>
      <c r="S12" s="2319"/>
      <c r="T12" s="2341"/>
      <c r="U12" s="238"/>
      <c r="V12" s="1320"/>
      <c r="W12" s="1321" t="str">
        <f>Z8&amp;"-"&amp;AB8</f>
        <v>-</v>
      </c>
      <c r="X12" s="1320"/>
      <c r="Y12" s="1321" t="str">
        <f>AB8&amp;"-"&amp;AD8</f>
        <v>-да</v>
      </c>
      <c r="Z12" s="1320"/>
      <c r="AA12" s="1320"/>
      <c r="AB12" s="1320"/>
      <c r="AC12" s="1320"/>
      <c r="AD12" s="2131"/>
      <c r="AE12" s="250"/>
      <c r="AF12" s="252"/>
      <c r="AG12" s="353" t="s">
        <v>518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75"/>
      <c r="BE12" s="437"/>
      <c r="BF12" s="437" t="str">
        <f t="shared" ref="BF12:BF18" si="1">IF(T12="","",T12)</f>
        <v/>
      </c>
      <c r="BG12" s="437"/>
      <c r="BH12" s="437"/>
      <c r="BI12" s="1082">
        <v>0</v>
      </c>
    </row>
    <row r="13" spans="1:61" ht="11.25" hidden="1" customHeight="1">
      <c r="A13" s="1290"/>
      <c r="B13" s="1290"/>
      <c r="C13" s="1290"/>
      <c r="D13" s="1290"/>
      <c r="E13" s="2252"/>
      <c r="F13" s="2252"/>
      <c r="G13" s="2252"/>
      <c r="H13" s="2252"/>
      <c r="I13" s="2254"/>
      <c r="J13" s="2253"/>
      <c r="K13" s="1290"/>
      <c r="L13" s="1291"/>
      <c r="P13" s="2255"/>
      <c r="Q13" s="225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76"/>
      <c r="BE13" s="437"/>
      <c r="BF13" s="437" t="str">
        <f t="shared" si="1"/>
        <v>Добавить строку</v>
      </c>
      <c r="BG13" s="437"/>
      <c r="BH13" s="437"/>
      <c r="BI13" s="1082">
        <v>0</v>
      </c>
    </row>
    <row r="14" spans="1:61" s="1569" customFormat="1" ht="14.25" hidden="1" customHeight="1">
      <c r="A14" s="1270"/>
      <c r="B14" s="1270"/>
      <c r="C14" s="1270"/>
      <c r="D14" s="1270"/>
      <c r="E14" s="2252"/>
      <c r="F14" s="2252"/>
      <c r="G14" s="2252"/>
      <c r="H14" s="2252"/>
      <c r="I14" s="2253"/>
      <c r="J14" s="1270"/>
      <c r="K14" s="1270"/>
      <c r="L14" s="1273"/>
      <c r="M14" s="447"/>
      <c r="N14" s="447"/>
      <c r="O14" s="447"/>
      <c r="P14" s="225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52"/>
      <c r="F15" s="2252"/>
      <c r="G15" s="2252"/>
      <c r="H15" s="225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52"/>
      <c r="F16" s="2252"/>
      <c r="G16" s="225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52"/>
      <c r="F17" s="2251"/>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51"/>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519</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3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70"/>
      <c r="BI28" s="1082">
        <v>14</v>
      </c>
    </row>
    <row r="29" spans="1:61" ht="14.65" customHeight="1">
      <c r="Q29" s="229"/>
      <c r="R29" s="313"/>
      <c r="S29" s="2204" t="str">
        <f>IF(org=0,"Не определено",org)</f>
        <v>ООО ПКФ "Энергетик-2001"</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42" t="s">
        <v>42</v>
      </c>
      <c r="T31" s="2242"/>
      <c r="U31" s="1299"/>
      <c r="V31" s="2244" t="str">
        <f>IF(TITLE_NAME_OR_PR_CHANGE="",IF(TITLE_NAME_OR_PR="","",TITLE_NAME_OR_PR),TITLE_NAME_OR_PR_CHANGE)</f>
        <v/>
      </c>
      <c r="W31" s="2244"/>
      <c r="X31" s="2244"/>
      <c r="Y31" s="2244"/>
      <c r="Z31" s="2244"/>
      <c r="AA31" s="2244"/>
      <c r="AB31" s="2244"/>
      <c r="AC31" s="264"/>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42" t="s">
        <v>426</v>
      </c>
      <c r="T32" s="2242"/>
      <c r="U32" s="1299"/>
      <c r="V32" s="2243">
        <f>IF(TITLE_DATE_PR_CHANGE="",IF(TITLE_DATE_PR="","",TITLE_DATE_PR),TITLE_DATE_PR_CHANGE)</f>
        <v>45777</v>
      </c>
      <c r="W32" s="2243"/>
      <c r="X32" s="2243"/>
      <c r="Y32" s="2243"/>
      <c r="Z32" s="2243"/>
      <c r="AA32" s="2243"/>
      <c r="AB32" s="2243"/>
      <c r="AC32" s="264"/>
      <c r="AD32" s="2243">
        <f>IF(TITLE_DATE_PR_CHANGE="",IF(TITLE_DATE_PR="","",TITLE_DATE_PR),TITLE_DATE_PR_CHANGE)</f>
        <v>45777</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42" t="s">
        <v>427</v>
      </c>
      <c r="T33" s="2242"/>
      <c r="U33" s="1299"/>
      <c r="V33" s="2244" t="str">
        <f>IF(TITLE_NUMBER_PR_CHANGE="",IF(TITLE_NUMBER_PR="","",TITLE_NUMBER_PR),TITLE_NUMBER_PR_CHANGE)</f>
        <v>466</v>
      </c>
      <c r="W33" s="2244"/>
      <c r="X33" s="2244"/>
      <c r="Y33" s="2244"/>
      <c r="Z33" s="2244"/>
      <c r="AA33" s="2244"/>
      <c r="AB33" s="2244"/>
      <c r="AC33" s="264"/>
      <c r="AD33" s="2244" t="str">
        <f>IF(TITLE_NUMBER_PR_CHANGE="",IF(TITLE_NUMBER_PR="","",TITLE_NUMBER_PR),TITLE_NUMBER_PR_CHANGE)</f>
        <v>466</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42" t="s">
        <v>43</v>
      </c>
      <c r="T34" s="2242"/>
      <c r="U34" s="1299"/>
      <c r="V34" s="2244" t="str">
        <f>IF(TITLE_IST_PUB_CHANGE="",IF(TITLE_IST_PUB="","",TITLE_IST_PUB),TITLE_IST_PUB_CHANGE)</f>
        <v/>
      </c>
      <c r="W34" s="2244"/>
      <c r="X34" s="2244"/>
      <c r="Y34" s="2244"/>
      <c r="Z34" s="2244"/>
      <c r="AA34" s="2244"/>
      <c r="AB34" s="2244"/>
      <c r="AC34" s="264"/>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42" t="s">
        <v>426</v>
      </c>
      <c r="T36" s="2242"/>
      <c r="U36" s="1299"/>
      <c r="V36" s="2243">
        <f>IF(TITLE_DATE_PR_CHANGE="",IF(TITLE_DATE_PR="","",TITLE_DATE_PR),TITLE_DATE_PR_CHANGE)</f>
        <v>45777</v>
      </c>
      <c r="W36" s="2243"/>
      <c r="X36" s="2243"/>
      <c r="Y36" s="2243"/>
      <c r="Z36" s="2243"/>
      <c r="AA36" s="2243"/>
      <c r="AB36" s="2243"/>
      <c r="AC36" s="264"/>
      <c r="AD36" s="2243">
        <f>IF(TITLE_DATE_PR_CHANGE="",IF(TITLE_DATE_PR="","",TITLE_DATE_PR),TITLE_DATE_PR_CHANGE)</f>
        <v>45777</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42" t="s">
        <v>427</v>
      </c>
      <c r="T37" s="2242"/>
      <c r="U37" s="1299"/>
      <c r="V37" s="2244" t="str">
        <f>IF(TITLE_NUMBER_PR_CHANGE="",IF(TITLE_NUMBER_PR="","",TITLE_NUMBER_PR),TITLE_NUMBER_PR_CHANGE)</f>
        <v>466</v>
      </c>
      <c r="W37" s="2244"/>
      <c r="X37" s="2244"/>
      <c r="Y37" s="2244"/>
      <c r="Z37" s="2244"/>
      <c r="AA37" s="2244"/>
      <c r="AB37" s="2244"/>
      <c r="AC37" s="264"/>
      <c r="AD37" s="2244" t="str">
        <f>IF(TITLE_NUMBER_PR_CHANGE="",IF(TITLE_NUMBER_PR="","",TITLE_NUMBER_PR),TITLE_NUMBER_PR_CHANGE)</f>
        <v>466</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82">
        <v>14</v>
      </c>
    </row>
    <row r="40" spans="1:61" ht="14.65" customHeight="1">
      <c r="Q40" s="229"/>
      <c r="R40" s="313"/>
      <c r="S40" s="2116" t="s">
        <v>306</v>
      </c>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t="s">
        <v>307</v>
      </c>
      <c r="BI40" s="1082">
        <v>14</v>
      </c>
    </row>
    <row r="41" spans="1:61" ht="14.65" customHeight="1">
      <c r="Q41" s="229"/>
      <c r="R41" s="313"/>
      <c r="S41" s="2264" t="s">
        <v>88</v>
      </c>
      <c r="T41" s="2212" t="s">
        <v>520</v>
      </c>
      <c r="U41" s="239"/>
      <c r="V41" s="2265" t="s">
        <v>432</v>
      </c>
      <c r="W41" s="2266"/>
      <c r="X41" s="2266"/>
      <c r="Y41" s="2266"/>
      <c r="Z41" s="2266"/>
      <c r="AA41" s="2266"/>
      <c r="AB41" s="2267"/>
      <c r="AC41" s="2268" t="s">
        <v>433</v>
      </c>
      <c r="AD41" s="2306" t="s">
        <v>537</v>
      </c>
      <c r="AE41" s="2290"/>
      <c r="AF41" s="2290"/>
      <c r="AG41" s="2307"/>
      <c r="AH41" s="2306" t="s">
        <v>538</v>
      </c>
      <c r="AI41" s="2290"/>
      <c r="AJ41" s="2290"/>
      <c r="AK41" s="2307"/>
      <c r="AL41" s="2306" t="s">
        <v>539</v>
      </c>
      <c r="AM41" s="2290"/>
      <c r="AN41" s="2290"/>
      <c r="AO41" s="2307"/>
      <c r="AP41" s="2306" t="s">
        <v>524</v>
      </c>
      <c r="AQ41" s="2290"/>
      <c r="AR41" s="2290"/>
      <c r="AS41" s="2307"/>
      <c r="AT41" s="2265" t="s">
        <v>432</v>
      </c>
      <c r="AU41" s="2266"/>
      <c r="AV41" s="2266"/>
      <c r="AW41" s="2266"/>
      <c r="AX41" s="2266"/>
      <c r="AY41" s="2266"/>
      <c r="AZ41" s="2267"/>
      <c r="BA41" s="2268" t="s">
        <v>433</v>
      </c>
      <c r="BB41" s="2271" t="s">
        <v>435</v>
      </c>
      <c r="BC41" s="2116"/>
      <c r="BI41" s="1082">
        <v>14</v>
      </c>
    </row>
    <row r="42" spans="1:61" ht="35.65" customHeight="1">
      <c r="Q42" s="229"/>
      <c r="R42" s="313"/>
      <c r="S42" s="2264"/>
      <c r="T42" s="2212"/>
      <c r="U42" s="961"/>
      <c r="V42" s="2185" t="s">
        <v>525</v>
      </c>
      <c r="W42" s="2186"/>
      <c r="X42" s="2185" t="s">
        <v>526</v>
      </c>
      <c r="Y42" s="2186"/>
      <c r="Z42" s="2185" t="s">
        <v>527</v>
      </c>
      <c r="AA42" s="2302"/>
      <c r="AB42" s="2186"/>
      <c r="AC42" s="2269"/>
      <c r="AD42" s="2308"/>
      <c r="AE42" s="2309"/>
      <c r="AF42" s="2309"/>
      <c r="AG42" s="2321"/>
      <c r="AH42" s="2308"/>
      <c r="AI42" s="2309"/>
      <c r="AJ42" s="2309"/>
      <c r="AK42" s="2321"/>
      <c r="AL42" s="2308"/>
      <c r="AM42" s="2309"/>
      <c r="AN42" s="2309"/>
      <c r="AO42" s="2321"/>
      <c r="AP42" s="2308"/>
      <c r="AQ42" s="2309"/>
      <c r="AR42" s="2309"/>
      <c r="AS42" s="2321"/>
      <c r="AT42" s="2185" t="s">
        <v>540</v>
      </c>
      <c r="AU42" s="2186"/>
      <c r="AV42" s="2185" t="s">
        <v>541</v>
      </c>
      <c r="AW42" s="2186"/>
      <c r="AX42" s="2185" t="s">
        <v>527</v>
      </c>
      <c r="AY42" s="2302"/>
      <c r="AZ42" s="2186"/>
      <c r="BA42" s="2269"/>
      <c r="BB42" s="2272"/>
      <c r="BC42" s="2116"/>
      <c r="BI42" s="1082">
        <v>34</v>
      </c>
    </row>
    <row r="43" spans="1:61" ht="14.65" customHeight="1">
      <c r="Q43" s="229"/>
      <c r="R43" s="313"/>
      <c r="S43" s="2264"/>
      <c r="T43" s="2212"/>
      <c r="U43" s="961"/>
      <c r="V43" s="2190"/>
      <c r="W43" s="2191"/>
      <c r="X43" s="2190"/>
      <c r="Y43" s="2191"/>
      <c r="Z43" s="2190"/>
      <c r="AA43" s="2303"/>
      <c r="AB43" s="2191"/>
      <c r="AC43" s="2269"/>
      <c r="AD43" s="2308"/>
      <c r="AE43" s="2309"/>
      <c r="AF43" s="2309"/>
      <c r="AG43" s="2321"/>
      <c r="AH43" s="2308"/>
      <c r="AI43" s="2309"/>
      <c r="AJ43" s="2309"/>
      <c r="AK43" s="2321"/>
      <c r="AL43" s="2308"/>
      <c r="AM43" s="2309"/>
      <c r="AN43" s="2309"/>
      <c r="AO43" s="2321"/>
      <c r="AP43" s="2308"/>
      <c r="AQ43" s="2309"/>
      <c r="AR43" s="2309"/>
      <c r="AS43" s="2321"/>
      <c r="AT43" s="2190"/>
      <c r="AU43" s="2191"/>
      <c r="AV43" s="2190"/>
      <c r="AW43" s="2191"/>
      <c r="AX43" s="2190"/>
      <c r="AY43" s="2303"/>
      <c r="AZ43" s="2191"/>
      <c r="BA43" s="2269"/>
      <c r="BB43" s="2272"/>
      <c r="BC43" s="2116"/>
      <c r="BI43" s="1082">
        <v>14</v>
      </c>
    </row>
    <row r="44" spans="1:61" ht="14.65" customHeight="1">
      <c r="A44" s="1297"/>
      <c r="B44" s="1297" t="s">
        <v>136</v>
      </c>
      <c r="C44" s="1297" t="s">
        <v>137</v>
      </c>
      <c r="D44" s="1297" t="s">
        <v>138</v>
      </c>
      <c r="E44" s="1291" t="s">
        <v>440</v>
      </c>
      <c r="F44" s="1291" t="s">
        <v>441</v>
      </c>
      <c r="G44" s="1291" t="s">
        <v>442</v>
      </c>
      <c r="H44" s="1291" t="s">
        <v>443</v>
      </c>
      <c r="I44" s="1291" t="s">
        <v>444</v>
      </c>
      <c r="J44" s="1291" t="s">
        <v>445</v>
      </c>
      <c r="K44" s="1291" t="s">
        <v>446</v>
      </c>
      <c r="L44" s="1291" t="s">
        <v>421</v>
      </c>
      <c r="Q44" s="229"/>
      <c r="R44" s="313"/>
      <c r="S44" s="2264"/>
      <c r="T44" s="2212"/>
      <c r="U44" s="240"/>
      <c r="V44" s="1406" t="s">
        <v>484</v>
      </c>
      <c r="W44" s="1406" t="s">
        <v>485</v>
      </c>
      <c r="X44" s="1406" t="s">
        <v>484</v>
      </c>
      <c r="Y44" s="1406" t="s">
        <v>485</v>
      </c>
      <c r="Z44" s="1416" t="s">
        <v>449</v>
      </c>
      <c r="AA44" s="2217" t="s">
        <v>450</v>
      </c>
      <c r="AB44" s="2231"/>
      <c r="AC44" s="2270"/>
      <c r="AD44" s="2310"/>
      <c r="AE44" s="2311"/>
      <c r="AF44" s="2311"/>
      <c r="AG44" s="2312"/>
      <c r="AH44" s="2310"/>
      <c r="AI44" s="2311"/>
      <c r="AJ44" s="2311"/>
      <c r="AK44" s="2312"/>
      <c r="AL44" s="2310"/>
      <c r="AM44" s="2311"/>
      <c r="AN44" s="2311"/>
      <c r="AO44" s="2312"/>
      <c r="AP44" s="2310"/>
      <c r="AQ44" s="2311"/>
      <c r="AR44" s="2311"/>
      <c r="AS44" s="2312"/>
      <c r="AT44" s="1406" t="s">
        <v>484</v>
      </c>
      <c r="AU44" s="1406" t="s">
        <v>485</v>
      </c>
      <c r="AV44" s="1406" t="s">
        <v>484</v>
      </c>
      <c r="AW44" s="1406" t="s">
        <v>485</v>
      </c>
      <c r="AX44" s="1416" t="s">
        <v>449</v>
      </c>
      <c r="AY44" s="2217" t="s">
        <v>450</v>
      </c>
      <c r="AZ44" s="2231"/>
      <c r="BA44" s="2270"/>
      <c r="BB44" s="2273"/>
      <c r="BC44" s="2116"/>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62">
        <f t="shared" ca="1" si="2"/>
        <v>8</v>
      </c>
      <c r="AB45" s="226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62">
        <f ca="1">OFFSET(AY45,0,-1)+1</f>
        <v>3</v>
      </c>
      <c r="AZ45" s="2262"/>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51">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52"/>
      <c r="F47" s="2251">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52"/>
      <c r="F48" s="2252"/>
      <c r="G48" s="2251">
        <v>1</v>
      </c>
      <c r="H48" s="1290"/>
      <c r="I48" s="1290"/>
      <c r="J48" s="1290"/>
      <c r="K48" s="1290"/>
      <c r="L48" s="1291"/>
      <c r="M48" s="1292"/>
      <c r="N48" s="1292"/>
      <c r="O48" s="1292"/>
      <c r="P48" s="1339"/>
      <c r="Q48" s="1338"/>
      <c r="R48" s="290"/>
      <c r="S48" s="1420" t="str">
        <f>INDEX(PT_DIFFERENTIATION_NUM_CS,MATCH(C48,PT_DIFFERENTIATION_CS_ID,0))</f>
        <v>..</v>
      </c>
      <c r="T48" s="247" t="s">
        <v>529</v>
      </c>
      <c r="U48" s="238"/>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85" t="s">
        <v>530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542</v>
      </c>
      <c r="E49" s="2252"/>
      <c r="F49" s="2252"/>
      <c r="G49" s="2252"/>
      <c r="H49" s="2251">
        <v>1</v>
      </c>
      <c r="I49" s="1270"/>
      <c r="J49" s="1270"/>
      <c r="K49" s="1270"/>
      <c r="L49" s="1273"/>
      <c r="M49" s="1242"/>
      <c r="N49" s="1242"/>
      <c r="O49" s="1242"/>
      <c r="P49" s="1424"/>
      <c r="Q49" s="1425"/>
      <c r="R49" s="294"/>
      <c r="S49" s="972"/>
      <c r="T49" s="1426"/>
      <c r="U49" s="1311"/>
      <c r="V49" s="2292"/>
      <c r="W49" s="2292"/>
      <c r="X49" s="2292"/>
      <c r="Y49" s="2292"/>
      <c r="Z49" s="2292"/>
      <c r="AA49" s="2292"/>
      <c r="AB49" s="2292"/>
      <c r="AC49" s="2293"/>
      <c r="AD49" s="2291"/>
      <c r="AE49" s="2292"/>
      <c r="AF49" s="2292"/>
      <c r="AG49" s="2292"/>
      <c r="AH49" s="2292"/>
      <c r="AI49" s="2292"/>
      <c r="AJ49" s="2292"/>
      <c r="AK49" s="2292"/>
      <c r="AL49" s="2292"/>
      <c r="AM49" s="2292"/>
      <c r="AN49" s="2292"/>
      <c r="AO49" s="2292"/>
      <c r="AP49" s="2292"/>
      <c r="AQ49" s="2292"/>
      <c r="AR49" s="2292"/>
      <c r="AS49" s="2292"/>
      <c r="AT49" s="2292"/>
      <c r="AU49" s="2292"/>
      <c r="AV49" s="2292"/>
      <c r="AW49" s="2292"/>
      <c r="AX49" s="2292"/>
      <c r="AY49" s="2292"/>
      <c r="AZ49" s="2292"/>
      <c r="BA49" s="2292"/>
      <c r="BB49" s="2293"/>
      <c r="BC49" s="1312" t="s">
        <v>408</v>
      </c>
      <c r="BE49" s="437"/>
      <c r="BF49" s="437" t="str">
        <f t="shared" si="3"/>
        <v/>
      </c>
      <c r="BG49" s="437"/>
      <c r="BH49" s="437"/>
      <c r="BI49" s="448">
        <v>0</v>
      </c>
    </row>
    <row r="50" spans="1:61" s="1569" customFormat="1" ht="0" hidden="1" customHeight="1">
      <c r="A50" s="1270" t="s">
        <v>282</v>
      </c>
      <c r="B50" s="1270" t="s">
        <v>283</v>
      </c>
      <c r="C50" s="1270" t="s">
        <v>284</v>
      </c>
      <c r="D50" s="1270" t="s">
        <v>542</v>
      </c>
      <c r="E50" s="2252"/>
      <c r="F50" s="2252"/>
      <c r="G50" s="2252"/>
      <c r="H50" s="2252"/>
      <c r="I50" s="2253" t="str">
        <f>S49&amp;".1"</f>
        <v>.1</v>
      </c>
      <c r="J50" s="1270"/>
      <c r="K50" s="1270"/>
      <c r="L50" s="1273" t="s">
        <v>409</v>
      </c>
      <c r="M50" s="447"/>
      <c r="N50" s="447"/>
      <c r="O50" s="447"/>
      <c r="P50" s="2255">
        <v>1</v>
      </c>
      <c r="Q50" s="1408"/>
      <c r="R50" s="293"/>
      <c r="S50" s="972"/>
      <c r="T50" s="1310"/>
      <c r="U50" s="1311"/>
      <c r="V50" s="2292"/>
      <c r="W50" s="2292"/>
      <c r="X50" s="2292"/>
      <c r="Y50" s="2292"/>
      <c r="Z50" s="2292"/>
      <c r="AA50" s="2292"/>
      <c r="AB50" s="2292"/>
      <c r="AC50" s="2293"/>
      <c r="AD50" s="2291"/>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3"/>
      <c r="BC50" s="1312"/>
      <c r="BE50" s="437"/>
      <c r="BF50" s="437" t="str">
        <f t="shared" si="3"/>
        <v/>
      </c>
      <c r="BG50" s="437"/>
      <c r="BH50" s="437"/>
      <c r="BI50" s="448">
        <v>0</v>
      </c>
    </row>
    <row r="51" spans="1:61" s="1569" customFormat="1" ht="0" hidden="1" customHeight="1">
      <c r="A51" s="1270" t="s">
        <v>282</v>
      </c>
      <c r="B51" s="1270" t="s">
        <v>283</v>
      </c>
      <c r="C51" s="1270" t="s">
        <v>284</v>
      </c>
      <c r="D51" s="1270" t="s">
        <v>542</v>
      </c>
      <c r="E51" s="2252"/>
      <c r="F51" s="2252"/>
      <c r="G51" s="2252"/>
      <c r="H51" s="2252"/>
      <c r="I51" s="2254"/>
      <c r="J51" s="2253" t="str">
        <f>S49&amp;".1"</f>
        <v>.1</v>
      </c>
      <c r="K51" s="1270"/>
      <c r="L51" s="1273"/>
      <c r="M51" s="447"/>
      <c r="N51" s="447"/>
      <c r="O51" s="447"/>
      <c r="P51" s="2255"/>
      <c r="Q51" s="2255">
        <v>1</v>
      </c>
      <c r="R51" s="294"/>
      <c r="S51" s="972"/>
      <c r="T51" s="1326"/>
      <c r="U51" s="1311"/>
      <c r="V51" s="2292"/>
      <c r="W51" s="2292"/>
      <c r="X51" s="2292"/>
      <c r="Y51" s="2292"/>
      <c r="Z51" s="2292"/>
      <c r="AA51" s="2292"/>
      <c r="AB51" s="2292"/>
      <c r="AC51" s="2293"/>
      <c r="AD51" s="2291"/>
      <c r="AE51" s="2292"/>
      <c r="AF51" s="2292"/>
      <c r="AG51" s="2292"/>
      <c r="AH51" s="2292"/>
      <c r="AI51" s="2292"/>
      <c r="AJ51" s="2292"/>
      <c r="AK51" s="2292"/>
      <c r="AL51" s="2292"/>
      <c r="AM51" s="2292"/>
      <c r="AN51" s="2345"/>
      <c r="AO51" s="2345"/>
      <c r="AP51" s="2292"/>
      <c r="AQ51" s="2292"/>
      <c r="AR51" s="2292"/>
      <c r="AS51" s="2292"/>
      <c r="AT51" s="2292"/>
      <c r="AU51" s="2292"/>
      <c r="AV51" s="2292"/>
      <c r="AW51" s="2292"/>
      <c r="AX51" s="2292"/>
      <c r="AY51" s="2292"/>
      <c r="AZ51" s="2292"/>
      <c r="BA51" s="2292"/>
      <c r="BB51" s="2293"/>
      <c r="BC51" s="1312"/>
      <c r="BE51" s="437"/>
      <c r="BF51" s="437" t="str">
        <f t="shared" si="3"/>
        <v/>
      </c>
      <c r="BG51" s="437"/>
      <c r="BH51" s="437"/>
      <c r="BI51" s="448">
        <v>0</v>
      </c>
    </row>
    <row r="52" spans="1:61" ht="11.45" customHeight="1">
      <c r="A52" s="1290" t="s">
        <v>282</v>
      </c>
      <c r="B52" s="1290" t="s">
        <v>283</v>
      </c>
      <c r="C52" s="1290" t="s">
        <v>284</v>
      </c>
      <c r="D52" s="1290" t="s">
        <v>542</v>
      </c>
      <c r="E52" s="2252"/>
      <c r="F52" s="2252"/>
      <c r="G52" s="2252"/>
      <c r="H52" s="2252"/>
      <c r="I52" s="2254"/>
      <c r="J52" s="2254"/>
      <c r="K52" s="2253" t="str">
        <f>S48&amp;".1"</f>
        <v>...1</v>
      </c>
      <c r="L52" s="1291"/>
      <c r="P52" s="2255"/>
      <c r="Q52" s="2255"/>
      <c r="R52" s="294">
        <v>1</v>
      </c>
      <c r="S52" s="2317" t="str">
        <f>$K52</f>
        <v>...1</v>
      </c>
      <c r="T52" s="2339"/>
      <c r="U52" s="238"/>
      <c r="V52" s="688"/>
      <c r="W52" s="1184"/>
      <c r="X52" s="688"/>
      <c r="Y52" s="1184"/>
      <c r="Z52" s="1660"/>
      <c r="AA52" s="1396" t="s">
        <v>66</v>
      </c>
      <c r="AB52" s="1660"/>
      <c r="AC52" s="1396" t="s">
        <v>66</v>
      </c>
      <c r="AD52" s="2176" t="s">
        <v>66</v>
      </c>
      <c r="AE52" s="2313"/>
      <c r="AF52" s="2208">
        <v>1</v>
      </c>
      <c r="AG52" s="2338"/>
      <c r="AH52" s="2126" t="s">
        <v>66</v>
      </c>
      <c r="AI52" s="2313"/>
      <c r="AJ52" s="2208">
        <v>1</v>
      </c>
      <c r="AK52" s="2327" t="s">
        <v>28</v>
      </c>
      <c r="AL52" s="2126" t="s">
        <v>66</v>
      </c>
      <c r="AM52" s="2185"/>
      <c r="AN52" s="2208">
        <v>1</v>
      </c>
      <c r="AO52" s="2342"/>
      <c r="AP52" s="2343" t="s">
        <v>66</v>
      </c>
      <c r="AQ52" s="249"/>
      <c r="AR52" s="1413">
        <v>1</v>
      </c>
      <c r="AS52" s="1419" t="s">
        <v>28</v>
      </c>
      <c r="AT52" s="688"/>
      <c r="AU52" s="1184"/>
      <c r="AV52" s="688"/>
      <c r="AW52" s="1184"/>
      <c r="AX52" s="1660"/>
      <c r="AY52" s="1396" t="s">
        <v>66</v>
      </c>
      <c r="AZ52" s="1660"/>
      <c r="BA52" s="1396" t="s">
        <v>66</v>
      </c>
      <c r="BB52" s="1275"/>
      <c r="BC52" s="2274" t="s">
        <v>514</v>
      </c>
      <c r="BE52" s="437"/>
      <c r="BF52" s="437" t="str">
        <f t="shared" si="3"/>
        <v/>
      </c>
      <c r="BG52" s="437"/>
      <c r="BH52" s="437"/>
      <c r="BI52" s="1082">
        <v>11</v>
      </c>
    </row>
    <row r="53" spans="1:61" ht="11.45" customHeight="1">
      <c r="A53" s="1290"/>
      <c r="B53" s="1290"/>
      <c r="C53" s="1290"/>
      <c r="D53" s="1290"/>
      <c r="E53" s="2252"/>
      <c r="F53" s="2252"/>
      <c r="G53" s="2252"/>
      <c r="H53" s="2252"/>
      <c r="I53" s="2254"/>
      <c r="J53" s="2254"/>
      <c r="K53" s="2253"/>
      <c r="L53" s="1291"/>
      <c r="P53" s="2255"/>
      <c r="Q53" s="2255"/>
      <c r="R53" s="294"/>
      <c r="S53" s="2318"/>
      <c r="T53" s="2340"/>
      <c r="U53" s="238"/>
      <c r="V53" s="1320"/>
      <c r="W53" s="1423"/>
      <c r="X53" s="1320"/>
      <c r="Y53" s="1423"/>
      <c r="Z53" s="1320"/>
      <c r="AA53" s="1320"/>
      <c r="AB53" s="1320"/>
      <c r="AC53" s="1320"/>
      <c r="AD53" s="2177"/>
      <c r="AE53" s="2313"/>
      <c r="AF53" s="2208"/>
      <c r="AG53" s="2338"/>
      <c r="AH53" s="2126"/>
      <c r="AI53" s="2313"/>
      <c r="AJ53" s="2208"/>
      <c r="AK53" s="2327"/>
      <c r="AL53" s="2126"/>
      <c r="AM53" s="2190"/>
      <c r="AN53" s="2208"/>
      <c r="AO53" s="2342"/>
      <c r="AP53" s="2344"/>
      <c r="AQ53" s="254"/>
      <c r="AR53" s="353"/>
      <c r="AS53" s="353" t="s">
        <v>515</v>
      </c>
      <c r="AT53" s="1320"/>
      <c r="AU53" s="1423"/>
      <c r="AV53" s="1320"/>
      <c r="AW53" s="1423"/>
      <c r="AX53" s="1320"/>
      <c r="AY53" s="1320"/>
      <c r="AZ53" s="1320"/>
      <c r="BA53" s="1320"/>
      <c r="BB53" s="1324"/>
      <c r="BC53" s="2275"/>
      <c r="BE53" s="437"/>
      <c r="BF53" s="437"/>
      <c r="BG53" s="437"/>
      <c r="BH53" s="437"/>
      <c r="BI53" s="1082">
        <v>11</v>
      </c>
    </row>
    <row r="54" spans="1:61" ht="11.45" customHeight="1">
      <c r="A54" s="1290" t="s">
        <v>282</v>
      </c>
      <c r="B54" s="1290"/>
      <c r="C54" s="1290"/>
      <c r="D54" s="1290"/>
      <c r="E54" s="2252"/>
      <c r="F54" s="2252"/>
      <c r="G54" s="2252"/>
      <c r="H54" s="2252"/>
      <c r="I54" s="2254"/>
      <c r="J54" s="2254"/>
      <c r="K54" s="2253"/>
      <c r="L54" s="1291"/>
      <c r="P54" s="2255"/>
      <c r="Q54" s="2255"/>
      <c r="R54" s="294"/>
      <c r="S54" s="2318"/>
      <c r="T54" s="2340"/>
      <c r="U54" s="238"/>
      <c r="V54" s="1320"/>
      <c r="W54" s="1423"/>
      <c r="X54" s="1320"/>
      <c r="Y54" s="1423"/>
      <c r="Z54" s="1320"/>
      <c r="AA54" s="1320"/>
      <c r="AB54" s="1320"/>
      <c r="AC54" s="1320"/>
      <c r="AD54" s="2177"/>
      <c r="AE54" s="2313"/>
      <c r="AF54" s="2208"/>
      <c r="AG54" s="2338"/>
      <c r="AH54" s="2126"/>
      <c r="AI54" s="2313"/>
      <c r="AJ54" s="2208"/>
      <c r="AK54" s="2327"/>
      <c r="AL54" s="2126"/>
      <c r="AM54" s="254"/>
      <c r="AN54" s="1427"/>
      <c r="AO54" s="1427" t="s">
        <v>535</v>
      </c>
      <c r="AP54" s="353"/>
      <c r="AQ54" s="353"/>
      <c r="AR54" s="353"/>
      <c r="AS54" s="1320"/>
      <c r="AT54" s="1320"/>
      <c r="AU54" s="1423"/>
      <c r="AV54" s="1320"/>
      <c r="AW54" s="1423"/>
      <c r="AX54" s="1320"/>
      <c r="AY54" s="1320"/>
      <c r="AZ54" s="1320"/>
      <c r="BA54" s="1320"/>
      <c r="BB54" s="1324"/>
      <c r="BC54" s="2275"/>
      <c r="BE54" s="437"/>
      <c r="BF54" s="437"/>
      <c r="BG54" s="437"/>
      <c r="BH54" s="437"/>
      <c r="BI54" s="1082">
        <v>11</v>
      </c>
    </row>
    <row r="55" spans="1:61" ht="11.45" customHeight="1">
      <c r="A55" s="1290" t="s">
        <v>282</v>
      </c>
      <c r="B55" s="1290"/>
      <c r="C55" s="1290"/>
      <c r="D55" s="1290"/>
      <c r="E55" s="2252"/>
      <c r="F55" s="2252"/>
      <c r="G55" s="2252"/>
      <c r="H55" s="2252"/>
      <c r="I55" s="2254"/>
      <c r="J55" s="2254"/>
      <c r="K55" s="2253"/>
      <c r="L55" s="1291"/>
      <c r="P55" s="2255"/>
      <c r="Q55" s="2255"/>
      <c r="R55" s="294"/>
      <c r="S55" s="2318"/>
      <c r="T55" s="2340"/>
      <c r="U55" s="238"/>
      <c r="V55" s="1320"/>
      <c r="W55" s="1423"/>
      <c r="X55" s="1320"/>
      <c r="Y55" s="1423"/>
      <c r="Z55" s="1320"/>
      <c r="AA55" s="1320"/>
      <c r="AB55" s="1320"/>
      <c r="AC55" s="1320"/>
      <c r="AD55" s="2177"/>
      <c r="AE55" s="2313"/>
      <c r="AF55" s="2208"/>
      <c r="AG55" s="2338"/>
      <c r="AH55" s="2126"/>
      <c r="AI55" s="232"/>
      <c r="AJ55" s="352"/>
      <c r="AK55" s="251" t="s">
        <v>536</v>
      </c>
      <c r="AL55" s="1320"/>
      <c r="AM55" s="1320"/>
      <c r="AN55" s="1320"/>
      <c r="AO55" s="1320"/>
      <c r="AP55" s="1320"/>
      <c r="AQ55" s="1320"/>
      <c r="AR55" s="1320"/>
      <c r="AS55" s="1320"/>
      <c r="AT55" s="1320"/>
      <c r="AU55" s="1423"/>
      <c r="AV55" s="1320"/>
      <c r="AW55" s="1423"/>
      <c r="AX55" s="1320"/>
      <c r="AY55" s="1320"/>
      <c r="AZ55" s="1320"/>
      <c r="BA55" s="1320"/>
      <c r="BB55" s="1324"/>
      <c r="BC55" s="2275"/>
      <c r="BE55" s="437"/>
      <c r="BF55" s="437"/>
      <c r="BG55" s="437"/>
      <c r="BH55" s="437"/>
      <c r="BI55" s="1082">
        <v>11</v>
      </c>
    </row>
    <row r="56" spans="1:61" ht="11.45" customHeight="1">
      <c r="A56" s="1290" t="s">
        <v>282</v>
      </c>
      <c r="B56" s="1290" t="s">
        <v>283</v>
      </c>
      <c r="C56" s="1290" t="s">
        <v>284</v>
      </c>
      <c r="D56" s="1290" t="s">
        <v>542</v>
      </c>
      <c r="E56" s="2252"/>
      <c r="F56" s="2252"/>
      <c r="G56" s="2252"/>
      <c r="H56" s="2252"/>
      <c r="I56" s="2254"/>
      <c r="J56" s="2254"/>
      <c r="K56" s="2253"/>
      <c r="L56" s="1291"/>
      <c r="P56" s="2255"/>
      <c r="Q56" s="2255"/>
      <c r="R56" s="294"/>
      <c r="S56" s="2319"/>
      <c r="T56" s="2341"/>
      <c r="U56" s="238"/>
      <c r="V56" s="1320"/>
      <c r="W56" s="1321" t="str">
        <f>Z52&amp;"-"&amp;AB52</f>
        <v>-</v>
      </c>
      <c r="X56" s="1320"/>
      <c r="Y56" s="1321" t="str">
        <f>AB52&amp;"-"&amp;AD52</f>
        <v>-да</v>
      </c>
      <c r="Z56" s="1320"/>
      <c r="AA56" s="1320"/>
      <c r="AB56" s="1320"/>
      <c r="AC56" s="1320"/>
      <c r="AD56" s="2131"/>
      <c r="AE56" s="250"/>
      <c r="AF56" s="252"/>
      <c r="AG56" s="353" t="s">
        <v>518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75"/>
      <c r="BE56" s="437"/>
      <c r="BF56" s="437" t="str">
        <f t="shared" ref="BF56:BF63" si="4">IF(T56="","",T56)</f>
        <v/>
      </c>
      <c r="BG56" s="437"/>
      <c r="BH56" s="437"/>
      <c r="BI56" s="1082">
        <v>11</v>
      </c>
    </row>
    <row r="57" spans="1:61" ht="11.45" customHeight="1">
      <c r="A57" s="1290" t="s">
        <v>282</v>
      </c>
      <c r="B57" s="1290" t="s">
        <v>283</v>
      </c>
      <c r="C57" s="1290" t="s">
        <v>284</v>
      </c>
      <c r="D57" s="1290" t="s">
        <v>542</v>
      </c>
      <c r="E57" s="2252"/>
      <c r="F57" s="2252"/>
      <c r="G57" s="2252"/>
      <c r="H57" s="2252"/>
      <c r="I57" s="2254"/>
      <c r="J57" s="2253"/>
      <c r="K57" s="1290"/>
      <c r="L57" s="1291"/>
      <c r="P57" s="2255"/>
      <c r="Q57" s="225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76"/>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542</v>
      </c>
      <c r="E58" s="2252"/>
      <c r="F58" s="2252"/>
      <c r="G58" s="2252"/>
      <c r="H58" s="2252"/>
      <c r="I58" s="2253"/>
      <c r="J58" s="1270"/>
      <c r="K58" s="1270"/>
      <c r="L58" s="1273"/>
      <c r="M58" s="447"/>
      <c r="N58" s="447"/>
      <c r="O58" s="447"/>
      <c r="P58" s="225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542</v>
      </c>
      <c r="E59" s="2252"/>
      <c r="F59" s="2252"/>
      <c r="G59" s="2252"/>
      <c r="H59" s="225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52"/>
      <c r="F60" s="2252"/>
      <c r="G60" s="225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52"/>
      <c r="F61" s="2251"/>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51"/>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02" t="str">
        <f>NameTemplatesInListMO</f>
        <v>Перечень муниципальных районов и муниципальных образований (территорий действия тарифа)</v>
      </c>
      <c r="F4" s="2102"/>
      <c r="G4" s="2102"/>
      <c r="H4" s="2102"/>
      <c r="I4" s="2102"/>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98" t="s">
        <v>86</v>
      </c>
      <c r="F8" s="2103"/>
      <c r="G8" s="2097"/>
      <c r="H8" s="2104" t="s">
        <v>87</v>
      </c>
      <c r="I8" s="2104"/>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101">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01"/>
      <c r="B13" s="354">
        <v>1</v>
      </c>
      <c r="C13" s="354"/>
      <c r="D13" s="731"/>
      <c r="E13" s="712" t="str">
        <f>A12&amp;"."&amp;B13</f>
        <v>1.1</v>
      </c>
      <c r="F13" s="726" t="s">
        <v>99</v>
      </c>
      <c r="G13" s="724" t="s">
        <v>100</v>
      </c>
      <c r="H13" s="724" t="s">
        <v>101</v>
      </c>
      <c r="I13" s="722" t="s">
        <v>102</v>
      </c>
      <c r="J13" s="437" t="e">
        <f ca="1">MERGEVALUE(G13)</f>
        <v>#NAME?</v>
      </c>
      <c r="K13" s="448"/>
      <c r="L13" s="448"/>
      <c r="M13" s="437" t="str">
        <f t="array" ref="M13">IF(ISERROR(MATCH(MID(N13,1,250),MID(note_ter,1,250),0)),"n","y")</f>
        <v>n</v>
      </c>
      <c r="N13" s="448"/>
      <c r="O13" s="437" t="str">
        <f>H13&amp;"("&amp;I13&amp;")"</f>
        <v>Засечное(56655429)</v>
      </c>
      <c r="P13" s="354"/>
      <c r="Q13" s="354"/>
      <c r="R13" s="357"/>
      <c r="S13" s="354"/>
      <c r="T13" s="354"/>
      <c r="U13" s="354"/>
      <c r="V13" s="359"/>
      <c r="W13" s="359"/>
      <c r="X13" s="356"/>
      <c r="Y13" s="356"/>
      <c r="Z13" s="356"/>
      <c r="AA13" s="356"/>
      <c r="AB13" s="356"/>
      <c r="AC13" s="360">
        <v>15</v>
      </c>
    </row>
    <row r="14" spans="1:29" s="1775" customFormat="1" ht="15.75" customHeight="1">
      <c r="A14" s="2101"/>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51">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45"/>
      <c r="W2" s="2246"/>
      <c r="X2" s="2246"/>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6"/>
      <c r="AQ2" s="2246"/>
      <c r="AR2" s="224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52"/>
      <c r="F3" s="225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45"/>
      <c r="W3" s="2246"/>
      <c r="X3" s="2246"/>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6"/>
      <c r="AQ3" s="2246"/>
      <c r="AR3" s="2247"/>
      <c r="AS3" s="1185" t="s">
        <v>404</v>
      </c>
      <c r="AU3" s="437"/>
      <c r="AV3" s="437" t="str">
        <f t="shared" si="0"/>
        <v>Территория действия тарифа</v>
      </c>
      <c r="AW3" s="437"/>
      <c r="AX3" s="437"/>
      <c r="AY3" s="1082">
        <v>0</v>
      </c>
    </row>
    <row r="4" spans="1:51" ht="23.25" hidden="1" customHeight="1">
      <c r="A4" s="1290"/>
      <c r="B4" s="1290"/>
      <c r="C4" s="1290"/>
      <c r="D4" s="1290"/>
      <c r="E4" s="2252"/>
      <c r="F4" s="2252"/>
      <c r="G4" s="2251">
        <v>1</v>
      </c>
      <c r="H4" s="1290"/>
      <c r="I4" s="1290"/>
      <c r="J4" s="1290"/>
      <c r="K4" s="1290"/>
      <c r="L4" s="1291"/>
      <c r="M4" s="1292"/>
      <c r="N4" s="1292"/>
      <c r="O4" s="1292"/>
      <c r="P4" s="291"/>
      <c r="Q4" s="289"/>
      <c r="R4" s="290"/>
      <c r="S4" s="1420" t="e">
        <f>INDEX(PT_DIFFERENTIATION_NUM_CS,MATCH(C4,PT_DIFFERENTIATION_CS_ID,0))</f>
        <v>#N/A</v>
      </c>
      <c r="T4" s="247" t="s">
        <v>543</v>
      </c>
      <c r="U4" s="238"/>
      <c r="V4" s="2245"/>
      <c r="W4" s="2246"/>
      <c r="X4" s="2246"/>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6"/>
      <c r="AQ4" s="2246"/>
      <c r="AR4" s="2247"/>
      <c r="AS4" s="1185" t="s">
        <v>544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52"/>
      <c r="F5" s="2252"/>
      <c r="G5" s="2252"/>
      <c r="H5" s="2252"/>
      <c r="I5" s="2253" t="e">
        <f>S4&amp;".1"</f>
        <v>#N/A</v>
      </c>
      <c r="J5" s="1290"/>
      <c r="K5" s="1290"/>
      <c r="L5" s="1291"/>
      <c r="P5" s="2255">
        <v>1</v>
      </c>
      <c r="Q5" s="1408"/>
      <c r="R5" s="293"/>
      <c r="S5" s="1420" t="e">
        <f>$I5</f>
        <v>#N/A</v>
      </c>
      <c r="T5" s="223" t="s">
        <v>496</v>
      </c>
      <c r="U5" s="238"/>
      <c r="V5" s="2330"/>
      <c r="W5" s="2331"/>
      <c r="X5" s="2331"/>
      <c r="Y5" s="2331"/>
      <c r="Z5" s="2331"/>
      <c r="AA5" s="2331"/>
      <c r="AB5" s="2331"/>
      <c r="AC5" s="2331"/>
      <c r="AD5" s="2331"/>
      <c r="AE5" s="2331"/>
      <c r="AF5" s="2332"/>
      <c r="AG5" s="2333"/>
      <c r="AH5" s="2334"/>
      <c r="AI5" s="2334"/>
      <c r="AJ5" s="2334"/>
      <c r="AK5" s="2334"/>
      <c r="AL5" s="2334"/>
      <c r="AM5" s="2334"/>
      <c r="AN5" s="2334"/>
      <c r="AO5" s="2334"/>
      <c r="AP5" s="2334"/>
      <c r="AQ5" s="2334"/>
      <c r="AR5" s="2335"/>
      <c r="AS5" s="1185" t="s">
        <v>497</v>
      </c>
      <c r="AU5" s="437"/>
      <c r="AV5" s="437" t="str">
        <f t="shared" si="0"/>
        <v>Наименование признака дифференциации</v>
      </c>
      <c r="AW5" s="437"/>
      <c r="AX5" s="437"/>
      <c r="AY5" s="1082">
        <v>0</v>
      </c>
    </row>
    <row r="6" spans="1:51" ht="23.25" hidden="1" customHeight="1">
      <c r="A6" s="1290"/>
      <c r="B6" s="1290"/>
      <c r="C6" s="1290"/>
      <c r="D6" s="1290"/>
      <c r="E6" s="2252"/>
      <c r="F6" s="2252"/>
      <c r="G6" s="2252"/>
      <c r="H6" s="2252"/>
      <c r="I6" s="2254"/>
      <c r="J6" s="2253" t="e">
        <f>I5&amp;".1"</f>
        <v>#N/A</v>
      </c>
      <c r="K6" s="1290"/>
      <c r="L6" s="1291" t="s">
        <v>412</v>
      </c>
      <c r="P6" s="2255"/>
      <c r="Q6" s="2255">
        <v>1</v>
      </c>
      <c r="R6" s="294"/>
      <c r="S6" s="1420" t="e">
        <f>$J6</f>
        <v>#N/A</v>
      </c>
      <c r="T6" s="224" t="s">
        <v>413</v>
      </c>
      <c r="U6" s="238"/>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34" t="s">
        <v>498</v>
      </c>
      <c r="AU6" s="437"/>
      <c r="AV6" s="437" t="str">
        <f t="shared" si="0"/>
        <v>Группа потребителей</v>
      </c>
      <c r="AW6" s="437"/>
      <c r="AX6" s="437"/>
      <c r="AY6" s="1082">
        <v>0</v>
      </c>
    </row>
    <row r="7" spans="1:51" ht="23.25" hidden="1" customHeight="1">
      <c r="A7" s="1290"/>
      <c r="B7" s="1290"/>
      <c r="C7" s="1290"/>
      <c r="D7" s="1290"/>
      <c r="E7" s="2252"/>
      <c r="F7" s="2252"/>
      <c r="G7" s="2252"/>
      <c r="H7" s="2252"/>
      <c r="I7" s="2254"/>
      <c r="J7" s="2254"/>
      <c r="K7" s="2253" t="e">
        <f>J6&amp;".1"</f>
        <v>#N/A</v>
      </c>
      <c r="L7" s="1291"/>
      <c r="P7" s="2255"/>
      <c r="Q7" s="2255"/>
      <c r="R7" s="294">
        <v>1</v>
      </c>
      <c r="S7" s="1420" t="e">
        <f>$K7</f>
        <v>#N/A</v>
      </c>
      <c r="T7" s="1364"/>
      <c r="U7" s="238"/>
      <c r="V7" s="688"/>
      <c r="W7" s="688"/>
      <c r="X7" s="688"/>
      <c r="Y7" s="688"/>
      <c r="Z7" s="688"/>
      <c r="AA7" s="688"/>
      <c r="AB7" s="688"/>
      <c r="AC7" s="2256"/>
      <c r="AD7" s="2126" t="s">
        <v>66</v>
      </c>
      <c r="AE7" s="2256"/>
      <c r="AF7" s="2126" t="s">
        <v>66</v>
      </c>
      <c r="AG7" s="688"/>
      <c r="AH7" s="688"/>
      <c r="AI7" s="688"/>
      <c r="AJ7" s="688"/>
      <c r="AK7" s="688"/>
      <c r="AL7" s="688"/>
      <c r="AM7" s="688"/>
      <c r="AN7" s="2256"/>
      <c r="AO7" s="2126" t="s">
        <v>66</v>
      </c>
      <c r="AP7" s="2258"/>
      <c r="AQ7" s="2126" t="s">
        <v>66</v>
      </c>
      <c r="AR7" s="1365"/>
      <c r="AS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52"/>
      <c r="F8" s="2252"/>
      <c r="G8" s="2252"/>
      <c r="H8" s="2252"/>
      <c r="I8" s="2254"/>
      <c r="J8" s="2254"/>
      <c r="K8" s="2253"/>
      <c r="L8" s="1291"/>
      <c r="P8" s="2255"/>
      <c r="Q8" s="2255"/>
      <c r="R8" s="294"/>
      <c r="S8" s="1417"/>
      <c r="T8" s="238"/>
      <c r="U8" s="238"/>
      <c r="V8" s="263"/>
      <c r="W8" s="263"/>
      <c r="X8" s="263"/>
      <c r="Y8" s="263"/>
      <c r="Z8" s="263"/>
      <c r="AA8" s="263"/>
      <c r="AB8" s="263"/>
      <c r="AC8" s="2257"/>
      <c r="AD8" s="2126"/>
      <c r="AE8" s="2257"/>
      <c r="AF8" s="2126"/>
      <c r="AG8" s="263"/>
      <c r="AH8" s="263"/>
      <c r="AI8" s="263"/>
      <c r="AJ8" s="263"/>
      <c r="AK8" s="263"/>
      <c r="AL8" s="263"/>
      <c r="AM8" s="263"/>
      <c r="AN8" s="2257"/>
      <c r="AO8" s="2126"/>
      <c r="AP8" s="2259"/>
      <c r="AQ8" s="2126"/>
      <c r="AR8" s="1366"/>
      <c r="AS8" s="2336"/>
      <c r="AU8" s="437"/>
      <c r="AV8" s="437" t="str">
        <f t="shared" si="0"/>
        <v/>
      </c>
      <c r="AW8" s="437"/>
      <c r="AX8" s="437"/>
      <c r="AY8" s="1082">
        <v>0</v>
      </c>
    </row>
    <row r="9" spans="1:51" ht="21" hidden="1" customHeight="1">
      <c r="A9" s="1290"/>
      <c r="B9" s="1290"/>
      <c r="C9" s="1290"/>
      <c r="D9" s="1290"/>
      <c r="E9" s="2252"/>
      <c r="F9" s="2252"/>
      <c r="G9" s="2252"/>
      <c r="H9" s="2252"/>
      <c r="I9" s="2254"/>
      <c r="J9" s="2253"/>
      <c r="K9" s="1290"/>
      <c r="L9" s="1291"/>
      <c r="P9" s="2255"/>
      <c r="Q9" s="2255"/>
      <c r="R9" s="293"/>
      <c r="S9" s="1205"/>
      <c r="T9" s="225" t="s">
        <v>499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52"/>
      <c r="F10" s="2252"/>
      <c r="G10" s="2252"/>
      <c r="H10" s="2252"/>
      <c r="I10" s="2253"/>
      <c r="J10" s="1290"/>
      <c r="K10" s="1290"/>
      <c r="L10" s="1291"/>
      <c r="P10" s="2255"/>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52"/>
      <c r="F12" s="2251"/>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49"/>
      <c r="AO15" s="2248" t="s">
        <v>66</v>
      </c>
      <c r="AP15" s="2249"/>
      <c r="AQ15" s="2248" t="s">
        <v>66</v>
      </c>
      <c r="AY15" s="1082">
        <v>0</v>
      </c>
    </row>
    <row r="16" spans="1:51" ht="14.25" hidden="1" customHeight="1">
      <c r="AG16" s="1287"/>
      <c r="AH16" s="1287"/>
      <c r="AI16" s="1287"/>
      <c r="AJ16" s="1287"/>
      <c r="AK16" s="1287"/>
      <c r="AL16" s="1287"/>
      <c r="AM16" s="1287"/>
      <c r="AN16" s="2248"/>
      <c r="AO16" s="2248"/>
      <c r="AP16" s="2248"/>
      <c r="AQ16" s="2248"/>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70"/>
      <c r="AY24" s="1082">
        <v>25</v>
      </c>
    </row>
    <row r="25" spans="1:51"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244"/>
      <c r="AC27" s="2244"/>
      <c r="AD27" s="2244"/>
      <c r="AE27" s="2244"/>
      <c r="AF27" s="264"/>
      <c r="AG27" s="2244" t="str">
        <f>IF(TITLE_NAME_OR_PR_CHANGE="",IF(TITLE_NAME_OR_PR="","",TITLE_NAME_OR_PR),TITLE_NAME_OR_PR_CHANGE)</f>
        <v/>
      </c>
      <c r="AH27" s="2244"/>
      <c r="AI27" s="2244"/>
      <c r="AJ27" s="2244"/>
      <c r="AK27" s="2244"/>
      <c r="AL27" s="2244"/>
      <c r="AM27" s="2244"/>
      <c r="AN27" s="2244"/>
      <c r="AO27" s="2244"/>
      <c r="AP27" s="2244"/>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243"/>
      <c r="AC28" s="2243"/>
      <c r="AD28" s="2243"/>
      <c r="AE28" s="2243"/>
      <c r="AF28" s="264"/>
      <c r="AG28" s="2243">
        <f>IF(TITLE_DATE_PR_CHANGE="",IF(TITLE_DATE_PR="","",TITLE_DATE_PR),TITLE_DATE_PR_CHANGE)</f>
        <v>45777</v>
      </c>
      <c r="AH28" s="2243"/>
      <c r="AI28" s="2243"/>
      <c r="AJ28" s="2243"/>
      <c r="AK28" s="2243"/>
      <c r="AL28" s="2243"/>
      <c r="AM28" s="2243"/>
      <c r="AN28" s="2243"/>
      <c r="AO28" s="2243"/>
      <c r="AP28" s="2243"/>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244"/>
      <c r="AC29" s="2244"/>
      <c r="AD29" s="2244"/>
      <c r="AE29" s="2244"/>
      <c r="AF29" s="264"/>
      <c r="AG29" s="2244" t="str">
        <f>IF(TITLE_NUMBER_PR_CHANGE="",IF(TITLE_NUMBER_PR="","",TITLE_NUMBER_PR),TITLE_NUMBER_PR_CHANGE)</f>
        <v>466</v>
      </c>
      <c r="AH29" s="2244"/>
      <c r="AI29" s="2244"/>
      <c r="AJ29" s="2244"/>
      <c r="AK29" s="2244"/>
      <c r="AL29" s="2244"/>
      <c r="AM29" s="2244"/>
      <c r="AN29" s="2244"/>
      <c r="AO29" s="2244"/>
      <c r="AP29" s="2244"/>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244"/>
      <c r="AC30" s="2244"/>
      <c r="AD30" s="2244"/>
      <c r="AE30" s="2244"/>
      <c r="AF30" s="264"/>
      <c r="AG30" s="2244" t="str">
        <f>IF(TITLE_IST_PUB_CHANGE="",IF(TITLE_IST_PUB="","",TITLE_IST_PUB),TITLE_IST_PUB_CHANGE)</f>
        <v/>
      </c>
      <c r="AH30" s="2244"/>
      <c r="AI30" s="2244"/>
      <c r="AJ30" s="2244"/>
      <c r="AK30" s="2244"/>
      <c r="AL30" s="2244"/>
      <c r="AM30" s="2244"/>
      <c r="AN30" s="2244"/>
      <c r="AO30" s="2244"/>
      <c r="AP30" s="2244"/>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243"/>
      <c r="AC32" s="2243"/>
      <c r="AD32" s="2243"/>
      <c r="AE32" s="2243"/>
      <c r="AF32" s="264"/>
      <c r="AG32" s="2243">
        <f>IF(TITLE_DATE_PR_CHANGE="",IF(TITLE_DATE_PR="","",TITLE_DATE_PR),TITLE_DATE_PR_CHANGE)</f>
        <v>45777</v>
      </c>
      <c r="AH32" s="2243"/>
      <c r="AI32" s="2243"/>
      <c r="AJ32" s="2243"/>
      <c r="AK32" s="2243"/>
      <c r="AL32" s="2243"/>
      <c r="AM32" s="2243"/>
      <c r="AN32" s="2243"/>
      <c r="AO32" s="2243"/>
      <c r="AP32" s="2243"/>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244"/>
      <c r="AC33" s="2244"/>
      <c r="AD33" s="2244"/>
      <c r="AE33" s="2244"/>
      <c r="AF33" s="264"/>
      <c r="AG33" s="2244" t="str">
        <f>IF(TITLE_NUMBER_PR_CHANGE="",IF(TITLE_NUMBER_PR="","",TITLE_NUMBER_PR),TITLE_NUMBER_PR_CHANGE)</f>
        <v>466</v>
      </c>
      <c r="AH33" s="2244"/>
      <c r="AI33" s="2244"/>
      <c r="AJ33" s="2244"/>
      <c r="AK33" s="2244"/>
      <c r="AL33" s="2244"/>
      <c r="AM33" s="2244"/>
      <c r="AN33" s="2244"/>
      <c r="AO33" s="2244"/>
      <c r="AP33" s="2244"/>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Y35" s="1082">
        <v>14</v>
      </c>
    </row>
    <row r="36" spans="1:51"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c r="AL36" s="2116"/>
      <c r="AM36" s="2116"/>
      <c r="AN36" s="2116"/>
      <c r="AO36" s="2116"/>
      <c r="AP36" s="2116"/>
      <c r="AQ36" s="2116"/>
      <c r="AR36" s="2116"/>
      <c r="AS36" s="2116" t="s">
        <v>307</v>
      </c>
      <c r="AY36" s="1082">
        <v>14</v>
      </c>
    </row>
    <row r="37" spans="1:51" ht="14.65" customHeight="1">
      <c r="Q37" s="313"/>
      <c r="R37" s="313"/>
      <c r="S37" s="2264" t="s">
        <v>88</v>
      </c>
      <c r="T37" s="2212" t="s">
        <v>431</v>
      </c>
      <c r="U37" s="239"/>
      <c r="V37" s="2265" t="s">
        <v>432</v>
      </c>
      <c r="W37" s="2290"/>
      <c r="X37" s="2290"/>
      <c r="Y37" s="2290"/>
      <c r="Z37" s="2290"/>
      <c r="AA37" s="2290"/>
      <c r="AB37" s="2290"/>
      <c r="AC37" s="2266"/>
      <c r="AD37" s="2266"/>
      <c r="AE37" s="2267"/>
      <c r="AF37" s="2268" t="s">
        <v>433</v>
      </c>
      <c r="AG37" s="2265" t="s">
        <v>432</v>
      </c>
      <c r="AH37" s="2266"/>
      <c r="AI37" s="2266"/>
      <c r="AJ37" s="2266"/>
      <c r="AK37" s="2266"/>
      <c r="AL37" s="2266"/>
      <c r="AM37" s="2266"/>
      <c r="AN37" s="2266"/>
      <c r="AO37" s="2266"/>
      <c r="AP37" s="2267"/>
      <c r="AQ37" s="2268" t="s">
        <v>434</v>
      </c>
      <c r="AR37" s="2271" t="s">
        <v>435</v>
      </c>
      <c r="AS37" s="2116"/>
      <c r="AY37" s="1082">
        <v>14</v>
      </c>
    </row>
    <row r="38" spans="1:51" ht="19.899999999999999" customHeight="1">
      <c r="Q38" s="313"/>
      <c r="R38" s="313"/>
      <c r="S38" s="2264"/>
      <c r="T38" s="2212"/>
      <c r="U38" s="961"/>
      <c r="V38" s="2116" t="s">
        <v>545</v>
      </c>
      <c r="W38" s="2346" t="s">
        <v>546</v>
      </c>
      <c r="X38" s="2346"/>
      <c r="Y38" s="2346"/>
      <c r="Z38" s="2346" t="s">
        <v>547</v>
      </c>
      <c r="AA38" s="2346"/>
      <c r="AB38" s="2346"/>
      <c r="AC38" s="2185" t="s">
        <v>439</v>
      </c>
      <c r="AD38" s="2302"/>
      <c r="AE38" s="2186"/>
      <c r="AF38" s="2269"/>
      <c r="AG38" s="2116" t="s">
        <v>545</v>
      </c>
      <c r="AH38" s="2346" t="s">
        <v>546</v>
      </c>
      <c r="AI38" s="2346"/>
      <c r="AJ38" s="2346"/>
      <c r="AK38" s="2346" t="s">
        <v>547</v>
      </c>
      <c r="AL38" s="2346"/>
      <c r="AM38" s="2346"/>
      <c r="AN38" s="2185" t="s">
        <v>439</v>
      </c>
      <c r="AO38" s="2302"/>
      <c r="AP38" s="2186"/>
      <c r="AQ38" s="2269"/>
      <c r="AR38" s="2272"/>
      <c r="AS38" s="2116"/>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64"/>
      <c r="T39" s="2212"/>
      <c r="U39" s="961"/>
      <c r="V39" s="2116"/>
      <c r="W39" s="2346" t="s">
        <v>548</v>
      </c>
      <c r="X39" s="2346" t="s">
        <v>549</v>
      </c>
      <c r="Y39" s="2346"/>
      <c r="Z39" s="2346" t="s">
        <v>550</v>
      </c>
      <c r="AA39" s="2346" t="s">
        <v>549</v>
      </c>
      <c r="AB39" s="2346"/>
      <c r="AC39" s="2190"/>
      <c r="AD39" s="2303"/>
      <c r="AE39" s="2191"/>
      <c r="AF39" s="2269"/>
      <c r="AG39" s="2116"/>
      <c r="AH39" s="2346" t="s">
        <v>548</v>
      </c>
      <c r="AI39" s="2346" t="s">
        <v>549</v>
      </c>
      <c r="AJ39" s="2346"/>
      <c r="AK39" s="2346" t="s">
        <v>550</v>
      </c>
      <c r="AL39" s="2346" t="s">
        <v>549</v>
      </c>
      <c r="AM39" s="2346"/>
      <c r="AN39" s="2190"/>
      <c r="AO39" s="2303"/>
      <c r="AP39" s="2191"/>
      <c r="AQ39" s="2269"/>
      <c r="AR39" s="2272"/>
      <c r="AS39" s="2116"/>
      <c r="AT39" s="1563"/>
      <c r="AU39" s="1563"/>
      <c r="AV39" s="1563"/>
      <c r="AW39" s="1563"/>
      <c r="AX39" s="1563"/>
      <c r="AY39" s="1558">
        <v>19</v>
      </c>
    </row>
    <row r="40" spans="1:51" ht="61.9" customHeight="1">
      <c r="A40" s="1297"/>
      <c r="B40" s="1297" t="s">
        <v>136</v>
      </c>
      <c r="C40" s="1297" t="s">
        <v>137</v>
      </c>
      <c r="D40" s="1297" t="s">
        <v>138</v>
      </c>
      <c r="E40" s="1291" t="s">
        <v>440</v>
      </c>
      <c r="F40" s="1291" t="s">
        <v>441</v>
      </c>
      <c r="G40" s="1291" t="s">
        <v>442</v>
      </c>
      <c r="H40" s="1291"/>
      <c r="I40" s="1291" t="s">
        <v>503</v>
      </c>
      <c r="J40" s="1291" t="s">
        <v>445</v>
      </c>
      <c r="K40" s="1291" t="s">
        <v>504</v>
      </c>
      <c r="L40" s="1291" t="s">
        <v>421</v>
      </c>
      <c r="Q40" s="313"/>
      <c r="R40" s="313"/>
      <c r="S40" s="2264"/>
      <c r="T40" s="2212"/>
      <c r="U40" s="240"/>
      <c r="V40" s="2116"/>
      <c r="W40" s="2346"/>
      <c r="X40" s="1905" t="s">
        <v>551</v>
      </c>
      <c r="Y40" s="1905" t="s">
        <v>552</v>
      </c>
      <c r="Z40" s="2346"/>
      <c r="AA40" s="1905" t="s">
        <v>553</v>
      </c>
      <c r="AB40" s="1905" t="s">
        <v>554</v>
      </c>
      <c r="AC40" s="1416" t="s">
        <v>449</v>
      </c>
      <c r="AD40" s="2217" t="s">
        <v>450</v>
      </c>
      <c r="AE40" s="2231"/>
      <c r="AF40" s="2270"/>
      <c r="AG40" s="2116"/>
      <c r="AH40" s="2346"/>
      <c r="AI40" s="1905" t="s">
        <v>551</v>
      </c>
      <c r="AJ40" s="1905" t="s">
        <v>552</v>
      </c>
      <c r="AK40" s="2346"/>
      <c r="AL40" s="1905" t="s">
        <v>553</v>
      </c>
      <c r="AM40" s="1905" t="s">
        <v>554</v>
      </c>
      <c r="AN40" s="1416" t="s">
        <v>449</v>
      </c>
      <c r="AO40" s="2217" t="s">
        <v>450</v>
      </c>
      <c r="AP40" s="2231"/>
      <c r="AQ40" s="2270"/>
      <c r="AR40" s="2273"/>
      <c r="AS40" s="211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62">
        <f ca="1">OFFSET(AD41,0,-1)+1</f>
        <v>2</v>
      </c>
      <c r="AE41" s="2262"/>
      <c r="AF41" s="1409">
        <f ca="1">OFFSET(AF41,0,-2)+1</f>
        <v>3</v>
      </c>
      <c r="AG41" s="1409">
        <f ca="1">OFFSET(AG41,0,-1)+1</f>
        <v>4</v>
      </c>
      <c r="AH41" s="1878"/>
      <c r="AI41" s="1878"/>
      <c r="AJ41" s="1878"/>
      <c r="AK41" s="1878"/>
      <c r="AL41" s="1878"/>
      <c r="AM41" s="1409">
        <f ca="1">OFFSET(AM41,0,-1)+1</f>
        <v>1</v>
      </c>
      <c r="AN41" s="1409">
        <f ca="1">OFFSET(AN41,0,-1)+1</f>
        <v>2</v>
      </c>
      <c r="AO41" s="2262">
        <f ca="1">OFFSET(AO41,0,-1)+1</f>
        <v>3</v>
      </c>
      <c r="AP41" s="2262"/>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51">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52"/>
      <c r="F43" s="2251">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52"/>
      <c r="F44" s="2252"/>
      <c r="G44" s="2251">
        <v>1</v>
      </c>
      <c r="H44" s="1290"/>
      <c r="I44" s="1290"/>
      <c r="J44" s="1290"/>
      <c r="K44" s="1290"/>
      <c r="L44" s="1291"/>
      <c r="M44" s="1292"/>
      <c r="N44" s="1292"/>
      <c r="O44" s="1292"/>
      <c r="P44" s="291"/>
      <c r="Q44" s="289"/>
      <c r="R44" s="290"/>
      <c r="S44" s="1420" t="str">
        <f>INDEX(PT_DIFFERENTIATION_NUM_CS,MATCH(C44,PT_DIFFERENTIATION_CS_ID,0))</f>
        <v>..</v>
      </c>
      <c r="T44" s="247" t="s">
        <v>543</v>
      </c>
      <c r="U44" s="238"/>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185" t="s">
        <v>544</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555</v>
      </c>
      <c r="E45" s="2252"/>
      <c r="F45" s="2252"/>
      <c r="G45" s="2252"/>
      <c r="H45" s="2252"/>
      <c r="I45" s="2253" t="str">
        <f>S44&amp;".1"</f>
        <v>...1</v>
      </c>
      <c r="J45" s="1290"/>
      <c r="K45" s="1290"/>
      <c r="L45" s="1291"/>
      <c r="P45" s="2255">
        <v>1</v>
      </c>
      <c r="Q45" s="1408"/>
      <c r="R45" s="293"/>
      <c r="S45" s="1420" t="str">
        <f>$I45</f>
        <v>...1</v>
      </c>
      <c r="T45" s="223" t="s">
        <v>496</v>
      </c>
      <c r="U45" s="238"/>
      <c r="V45" s="2330"/>
      <c r="W45" s="2331"/>
      <c r="X45" s="2331"/>
      <c r="Y45" s="2331"/>
      <c r="Z45" s="2331"/>
      <c r="AA45" s="2331"/>
      <c r="AB45" s="2331"/>
      <c r="AC45" s="2331"/>
      <c r="AD45" s="2331"/>
      <c r="AE45" s="2331"/>
      <c r="AF45" s="2332"/>
      <c r="AG45" s="2333"/>
      <c r="AH45" s="2334"/>
      <c r="AI45" s="2334"/>
      <c r="AJ45" s="2334"/>
      <c r="AK45" s="2334"/>
      <c r="AL45" s="2334"/>
      <c r="AM45" s="2334"/>
      <c r="AN45" s="2334"/>
      <c r="AO45" s="2334"/>
      <c r="AP45" s="2334"/>
      <c r="AQ45" s="2334"/>
      <c r="AR45" s="2335"/>
      <c r="AS45" s="1185" t="s">
        <v>497</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555</v>
      </c>
      <c r="E46" s="2252"/>
      <c r="F46" s="2252"/>
      <c r="G46" s="2252"/>
      <c r="H46" s="2252"/>
      <c r="I46" s="2254"/>
      <c r="J46" s="2253" t="str">
        <f>I45&amp;".1"</f>
        <v>...1.1</v>
      </c>
      <c r="K46" s="1290"/>
      <c r="L46" s="1291" t="s">
        <v>412</v>
      </c>
      <c r="P46" s="2255"/>
      <c r="Q46" s="2255">
        <v>1</v>
      </c>
      <c r="R46" s="294"/>
      <c r="S46" s="1420" t="str">
        <f>$J46</f>
        <v>...1.1</v>
      </c>
      <c r="T46" s="224" t="s">
        <v>413</v>
      </c>
      <c r="U46" s="238"/>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34" t="s">
        <v>498</v>
      </c>
      <c r="AU46" s="437"/>
      <c r="AV46" s="437" t="str">
        <f t="shared" si="1"/>
        <v>Группа потребителей</v>
      </c>
      <c r="AW46" s="437"/>
      <c r="AX46" s="437"/>
      <c r="AY46" s="1082">
        <v>23</v>
      </c>
    </row>
    <row r="47" spans="1:51" ht="24" customHeight="1">
      <c r="A47" s="1290" t="s">
        <v>257</v>
      </c>
      <c r="B47" s="1290" t="s">
        <v>258</v>
      </c>
      <c r="C47" s="1290" t="s">
        <v>259</v>
      </c>
      <c r="D47" s="1290" t="s">
        <v>555</v>
      </c>
      <c r="E47" s="2252"/>
      <c r="F47" s="2252"/>
      <c r="G47" s="2252"/>
      <c r="H47" s="2252"/>
      <c r="I47" s="2254"/>
      <c r="J47" s="2254"/>
      <c r="K47" s="2253" t="str">
        <f>J46&amp;".1"</f>
        <v>...1.1.1</v>
      </c>
      <c r="L47" s="1291"/>
      <c r="P47" s="2255"/>
      <c r="Q47" s="2255"/>
      <c r="R47" s="294">
        <v>1</v>
      </c>
      <c r="S47" s="1420" t="str">
        <f>$K47</f>
        <v>...1.1.1</v>
      </c>
      <c r="T47" s="1364"/>
      <c r="U47" s="238"/>
      <c r="V47" s="688"/>
      <c r="W47" s="688"/>
      <c r="X47" s="688"/>
      <c r="Y47" s="688"/>
      <c r="Z47" s="688"/>
      <c r="AA47" s="688"/>
      <c r="AB47" s="688"/>
      <c r="AC47" s="2249"/>
      <c r="AD47" s="2248" t="s">
        <v>66</v>
      </c>
      <c r="AE47" s="2249"/>
      <c r="AF47" s="2248" t="s">
        <v>66</v>
      </c>
      <c r="AG47" s="688"/>
      <c r="AH47" s="688"/>
      <c r="AI47" s="688"/>
      <c r="AJ47" s="688"/>
      <c r="AK47" s="688"/>
      <c r="AL47" s="688"/>
      <c r="AM47" s="688"/>
      <c r="AN47" s="2256"/>
      <c r="AO47" s="2126" t="s">
        <v>66</v>
      </c>
      <c r="AP47" s="2258"/>
      <c r="AQ47" s="2126" t="s">
        <v>19</v>
      </c>
      <c r="AR47" s="1365"/>
      <c r="AS4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555</v>
      </c>
      <c r="E48" s="2252"/>
      <c r="F48" s="2252"/>
      <c r="G48" s="2252"/>
      <c r="H48" s="2252"/>
      <c r="I48" s="2254"/>
      <c r="J48" s="2254"/>
      <c r="K48" s="2253"/>
      <c r="L48" s="1291"/>
      <c r="P48" s="2255"/>
      <c r="Q48" s="2255"/>
      <c r="R48" s="294"/>
      <c r="S48" s="1417"/>
      <c r="T48" s="238"/>
      <c r="U48" s="238"/>
      <c r="V48" s="1287"/>
      <c r="W48" s="1287"/>
      <c r="X48" s="1287"/>
      <c r="Y48" s="1287"/>
      <c r="Z48" s="1287"/>
      <c r="AA48" s="1287"/>
      <c r="AB48" s="1287"/>
      <c r="AC48" s="2248"/>
      <c r="AD48" s="2248"/>
      <c r="AE48" s="2248"/>
      <c r="AF48" s="2248"/>
      <c r="AG48" s="263"/>
      <c r="AH48" s="263"/>
      <c r="AI48" s="263"/>
      <c r="AJ48" s="263"/>
      <c r="AK48" s="263"/>
      <c r="AL48" s="263"/>
      <c r="AM48" s="263"/>
      <c r="AN48" s="2257"/>
      <c r="AO48" s="2126"/>
      <c r="AP48" s="2259"/>
      <c r="AQ48" s="2126"/>
      <c r="AR48" s="1366"/>
      <c r="AS48" s="2336"/>
      <c r="AU48" s="437"/>
      <c r="AV48" s="437" t="str">
        <f t="shared" si="1"/>
        <v/>
      </c>
      <c r="AW48" s="437"/>
      <c r="AX48" s="437"/>
      <c r="AY48" s="1082">
        <v>0</v>
      </c>
    </row>
    <row r="49" spans="1:51" ht="21" customHeight="1">
      <c r="A49" s="1290" t="s">
        <v>257</v>
      </c>
      <c r="B49" s="1290" t="s">
        <v>258</v>
      </c>
      <c r="C49" s="1290" t="s">
        <v>259</v>
      </c>
      <c r="D49" s="1290" t="s">
        <v>555</v>
      </c>
      <c r="E49" s="2252"/>
      <c r="F49" s="2252"/>
      <c r="G49" s="2252"/>
      <c r="H49" s="2252"/>
      <c r="I49" s="2254"/>
      <c r="J49" s="2253"/>
      <c r="K49" s="1290"/>
      <c r="L49" s="1291"/>
      <c r="P49" s="2255"/>
      <c r="Q49" s="2255"/>
      <c r="R49" s="293"/>
      <c r="S49" s="1205"/>
      <c r="T49" s="225" t="s">
        <v>499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500</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555</v>
      </c>
      <c r="E50" s="2252"/>
      <c r="F50" s="2252"/>
      <c r="G50" s="2252"/>
      <c r="H50" s="2252"/>
      <c r="I50" s="2253"/>
      <c r="J50" s="1290"/>
      <c r="K50" s="1290"/>
      <c r="L50" s="1291"/>
      <c r="P50" s="2255"/>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555</v>
      </c>
      <c r="E51" s="2252"/>
      <c r="F51" s="2252"/>
      <c r="G51" s="2252"/>
      <c r="H51" s="2251"/>
      <c r="I51" s="1290"/>
      <c r="J51" s="1290"/>
      <c r="K51" s="1290"/>
      <c r="L51" s="1291"/>
      <c r="M51" s="1292"/>
      <c r="N51" s="1292"/>
      <c r="O51" s="474"/>
      <c r="P51" s="297"/>
      <c r="Q51" s="312"/>
      <c r="R51" s="292"/>
      <c r="S51" s="1205"/>
      <c r="T51" s="309" t="s">
        <v>501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52"/>
      <c r="F52" s="2251"/>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51"/>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82">
        <v>14</v>
      </c>
    </row>
    <row r="57" spans="1:51" ht="14.65" customHeight="1">
      <c r="O57" s="474"/>
      <c r="AY57" s="1082">
        <v>14</v>
      </c>
    </row>
    <row r="58" spans="1:51" ht="14.65" customHeight="1">
      <c r="O58" s="474"/>
      <c r="S58" s="118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6"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51">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45"/>
      <c r="W2" s="2246"/>
      <c r="X2" s="2246"/>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6"/>
      <c r="AQ2" s="2246"/>
      <c r="AR2" s="224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52"/>
      <c r="F3" s="2251">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45"/>
      <c r="W3" s="2246"/>
      <c r="X3" s="2246"/>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6"/>
      <c r="AQ3" s="2246"/>
      <c r="AR3" s="2247"/>
      <c r="AS3" s="1185" t="s">
        <v>404</v>
      </c>
      <c r="AU3" s="437"/>
      <c r="AV3" s="437" t="str">
        <f t="shared" si="0"/>
        <v>Территория действия тарифа</v>
      </c>
      <c r="AW3" s="437"/>
      <c r="AX3" s="437"/>
      <c r="AY3" s="1082">
        <v>0</v>
      </c>
    </row>
    <row r="4" spans="1:51" ht="23.25" hidden="1" customHeight="1">
      <c r="A4" s="1290"/>
      <c r="B4" s="1290"/>
      <c r="C4" s="1290"/>
      <c r="D4" s="1290"/>
      <c r="E4" s="2252"/>
      <c r="F4" s="2252"/>
      <c r="G4" s="2251">
        <v>1</v>
      </c>
      <c r="H4" s="1290"/>
      <c r="I4" s="1290"/>
      <c r="J4" s="1290"/>
      <c r="K4" s="1290"/>
      <c r="L4" s="1291"/>
      <c r="M4" s="1292"/>
      <c r="N4" s="1292"/>
      <c r="O4" s="1292"/>
      <c r="P4" s="291"/>
      <c r="Q4" s="289"/>
      <c r="R4" s="290"/>
      <c r="S4" s="1420" t="e">
        <f>INDEX(PT_DIFFERENTIATION_NUM_CS,MATCH(C4,PT_DIFFERENTIATION_CS_ID,0))</f>
        <v>#N/A</v>
      </c>
      <c r="T4" s="247" t="s">
        <v>543</v>
      </c>
      <c r="U4" s="238"/>
      <c r="V4" s="2245"/>
      <c r="W4" s="2246"/>
      <c r="X4" s="2246"/>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6"/>
      <c r="AQ4" s="2246"/>
      <c r="AR4" s="2247"/>
      <c r="AS4" s="1185" t="s">
        <v>544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52"/>
      <c r="F5" s="2252"/>
      <c r="G5" s="2252"/>
      <c r="H5" s="2252"/>
      <c r="I5" s="2253" t="e">
        <f>S4&amp;".1"</f>
        <v>#N/A</v>
      </c>
      <c r="J5" s="1290"/>
      <c r="K5" s="1290"/>
      <c r="L5" s="1291"/>
      <c r="P5" s="2255">
        <v>1</v>
      </c>
      <c r="Q5" s="1408"/>
      <c r="R5" s="293"/>
      <c r="S5" s="1420" t="e">
        <f>$I5</f>
        <v>#N/A</v>
      </c>
      <c r="T5" s="223" t="s">
        <v>496</v>
      </c>
      <c r="U5" s="238"/>
      <c r="V5" s="2330"/>
      <c r="W5" s="2331"/>
      <c r="X5" s="2331"/>
      <c r="Y5" s="2331"/>
      <c r="Z5" s="2331"/>
      <c r="AA5" s="2331"/>
      <c r="AB5" s="2331"/>
      <c r="AC5" s="2331"/>
      <c r="AD5" s="2331"/>
      <c r="AE5" s="2331"/>
      <c r="AF5" s="2332"/>
      <c r="AG5" s="2333"/>
      <c r="AH5" s="2334"/>
      <c r="AI5" s="2334"/>
      <c r="AJ5" s="2334"/>
      <c r="AK5" s="2334"/>
      <c r="AL5" s="2334"/>
      <c r="AM5" s="2334"/>
      <c r="AN5" s="2334"/>
      <c r="AO5" s="2334"/>
      <c r="AP5" s="2334"/>
      <c r="AQ5" s="2334"/>
      <c r="AR5" s="2335"/>
      <c r="AS5" s="1185" t="s">
        <v>497</v>
      </c>
      <c r="AU5" s="437"/>
      <c r="AV5" s="437" t="str">
        <f t="shared" si="0"/>
        <v>Наименование признака дифференциации</v>
      </c>
      <c r="AW5" s="437"/>
      <c r="AX5" s="437"/>
      <c r="AY5" s="1082">
        <v>0</v>
      </c>
    </row>
    <row r="6" spans="1:51" ht="23.25" hidden="1" customHeight="1">
      <c r="A6" s="1290"/>
      <c r="B6" s="1290"/>
      <c r="C6" s="1290"/>
      <c r="D6" s="1290"/>
      <c r="E6" s="2252"/>
      <c r="F6" s="2252"/>
      <c r="G6" s="2252"/>
      <c r="H6" s="2252"/>
      <c r="I6" s="2254"/>
      <c r="J6" s="2253" t="e">
        <f>I5&amp;".1"</f>
        <v>#N/A</v>
      </c>
      <c r="K6" s="1290"/>
      <c r="L6" s="1291" t="s">
        <v>412</v>
      </c>
      <c r="P6" s="2255"/>
      <c r="Q6" s="2255">
        <v>1</v>
      </c>
      <c r="R6" s="294"/>
      <c r="S6" s="1420" t="e">
        <f>$J6</f>
        <v>#N/A</v>
      </c>
      <c r="T6" s="224" t="s">
        <v>413</v>
      </c>
      <c r="U6" s="238"/>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34" t="s">
        <v>498</v>
      </c>
      <c r="AU6" s="437"/>
      <c r="AV6" s="437" t="str">
        <f t="shared" si="0"/>
        <v>Группа потребителей</v>
      </c>
      <c r="AW6" s="437"/>
      <c r="AX6" s="437"/>
      <c r="AY6" s="1082">
        <v>0</v>
      </c>
    </row>
    <row r="7" spans="1:51" ht="23.25" hidden="1" customHeight="1">
      <c r="A7" s="1290"/>
      <c r="B7" s="1290"/>
      <c r="C7" s="1290"/>
      <c r="D7" s="1290"/>
      <c r="E7" s="2252"/>
      <c r="F7" s="2252"/>
      <c r="G7" s="2252"/>
      <c r="H7" s="2252"/>
      <c r="I7" s="2254"/>
      <c r="J7" s="2254"/>
      <c r="K7" s="2253" t="e">
        <f>J6&amp;".1"</f>
        <v>#N/A</v>
      </c>
      <c r="L7" s="1291"/>
      <c r="P7" s="2255"/>
      <c r="Q7" s="2255"/>
      <c r="R7" s="294">
        <v>1</v>
      </c>
      <c r="S7" s="1420" t="e">
        <f>$K7</f>
        <v>#N/A</v>
      </c>
      <c r="T7" s="1364"/>
      <c r="U7" s="238"/>
      <c r="V7" s="688"/>
      <c r="W7" s="688"/>
      <c r="X7" s="688"/>
      <c r="Y7" s="688"/>
      <c r="Z7" s="688"/>
      <c r="AA7" s="688"/>
      <c r="AB7" s="1184"/>
      <c r="AC7" s="2256"/>
      <c r="AD7" s="2126" t="s">
        <v>66</v>
      </c>
      <c r="AE7" s="2256"/>
      <c r="AF7" s="2126" t="s">
        <v>66</v>
      </c>
      <c r="AG7" s="688"/>
      <c r="AH7" s="688"/>
      <c r="AI7" s="688"/>
      <c r="AJ7" s="688"/>
      <c r="AK7" s="688"/>
      <c r="AL7" s="688"/>
      <c r="AM7" s="1184"/>
      <c r="AN7" s="2256"/>
      <c r="AO7" s="2126" t="s">
        <v>66</v>
      </c>
      <c r="AP7" s="2258"/>
      <c r="AQ7" s="2126" t="s">
        <v>66</v>
      </c>
      <c r="AR7" s="1365"/>
      <c r="AS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52"/>
      <c r="F8" s="2252"/>
      <c r="G8" s="2252"/>
      <c r="H8" s="2252"/>
      <c r="I8" s="2254"/>
      <c r="J8" s="2254"/>
      <c r="K8" s="2253"/>
      <c r="L8" s="1291"/>
      <c r="P8" s="2255"/>
      <c r="Q8" s="2255"/>
      <c r="R8" s="294"/>
      <c r="S8" s="1417"/>
      <c r="T8" s="238"/>
      <c r="U8" s="238"/>
      <c r="V8" s="263"/>
      <c r="W8" s="263"/>
      <c r="X8" s="263"/>
      <c r="Y8" s="263"/>
      <c r="Z8" s="263"/>
      <c r="AA8" s="263"/>
      <c r="AB8" s="266" t="str">
        <f>AC7&amp;"-"&amp;AE7</f>
        <v>-</v>
      </c>
      <c r="AC8" s="2257"/>
      <c r="AD8" s="2126"/>
      <c r="AE8" s="2257"/>
      <c r="AF8" s="2126"/>
      <c r="AG8" s="263"/>
      <c r="AH8" s="263"/>
      <c r="AI8" s="263"/>
      <c r="AJ8" s="263"/>
      <c r="AK8" s="263"/>
      <c r="AL8" s="263"/>
      <c r="AM8" s="266" t="str">
        <f>AN7&amp;"-"&amp;AP7</f>
        <v>-</v>
      </c>
      <c r="AN8" s="2257"/>
      <c r="AO8" s="2126"/>
      <c r="AP8" s="2259"/>
      <c r="AQ8" s="2126"/>
      <c r="AR8" s="1366"/>
      <c r="AS8" s="2336"/>
      <c r="AU8" s="437"/>
      <c r="AV8" s="437" t="str">
        <f t="shared" si="0"/>
        <v/>
      </c>
      <c r="AW8" s="437"/>
      <c r="AX8" s="437"/>
      <c r="AY8" s="1082">
        <v>0</v>
      </c>
    </row>
    <row r="9" spans="1:51" ht="21" hidden="1" customHeight="1">
      <c r="A9" s="1290"/>
      <c r="B9" s="1290"/>
      <c r="C9" s="1290"/>
      <c r="D9" s="1290"/>
      <c r="E9" s="2252"/>
      <c r="F9" s="2252"/>
      <c r="G9" s="2252"/>
      <c r="H9" s="2252"/>
      <c r="I9" s="2254"/>
      <c r="J9" s="2253"/>
      <c r="K9" s="1290"/>
      <c r="L9" s="1291"/>
      <c r="P9" s="2255"/>
      <c r="Q9" s="2255"/>
      <c r="R9" s="293"/>
      <c r="S9" s="1205"/>
      <c r="T9" s="225" t="s">
        <v>499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52"/>
      <c r="F10" s="2252"/>
      <c r="G10" s="2252"/>
      <c r="H10" s="2252"/>
      <c r="I10" s="2253"/>
      <c r="J10" s="1290"/>
      <c r="K10" s="1290"/>
      <c r="L10" s="1291"/>
      <c r="P10" s="2255"/>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52"/>
      <c r="F11" s="2252"/>
      <c r="G11" s="2252"/>
      <c r="H11" s="2251"/>
      <c r="I11" s="1290"/>
      <c r="J11" s="1290"/>
      <c r="K11" s="1290"/>
      <c r="L11" s="1291"/>
      <c r="M11" s="1292"/>
      <c r="N11" s="1292"/>
      <c r="O11" s="474"/>
      <c r="P11" s="297"/>
      <c r="Q11" s="312"/>
      <c r="R11" s="292"/>
      <c r="S11" s="1205"/>
      <c r="T11" s="309" t="s">
        <v>501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52"/>
      <c r="F12" s="2251"/>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51"/>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49"/>
      <c r="AO15" s="2248" t="s">
        <v>66</v>
      </c>
      <c r="AP15" s="2249"/>
      <c r="AQ15" s="2248" t="s">
        <v>66</v>
      </c>
      <c r="AY15" s="1082">
        <v>0</v>
      </c>
    </row>
    <row r="16" spans="1:51" ht="14.25" hidden="1" customHeight="1">
      <c r="AG16" s="1287"/>
      <c r="AH16" s="1287"/>
      <c r="AI16" s="1287"/>
      <c r="AJ16" s="1287"/>
      <c r="AK16" s="1287"/>
      <c r="AL16" s="1287"/>
      <c r="AM16" s="266" t="str">
        <f>AN15&amp;"-"&amp;AP15</f>
        <v>-</v>
      </c>
      <c r="AN16" s="2248"/>
      <c r="AO16" s="2248"/>
      <c r="AP16" s="2248"/>
      <c r="AQ16" s="2248"/>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70"/>
      <c r="AY24" s="1082">
        <v>25</v>
      </c>
    </row>
    <row r="25" spans="1:51" ht="14.65" customHeight="1">
      <c r="Q25" s="313"/>
      <c r="R25" s="313"/>
      <c r="S25" s="2204" t="str">
        <f>IF(org=0,"Не определено",org)</f>
        <v>ООО ПКФ "Энергетик-2001"</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42" t="s">
        <v>42</v>
      </c>
      <c r="T27" s="2242"/>
      <c r="U27" s="1299"/>
      <c r="V27" s="2244" t="str">
        <f>IF(TITLE_NAME_OR_PR_CHANGE="",IF(TITLE_NAME_OR_PR="","",TITLE_NAME_OR_PR),TITLE_NAME_OR_PR_CHANGE)</f>
        <v/>
      </c>
      <c r="W27" s="2244"/>
      <c r="X27" s="2244"/>
      <c r="Y27" s="2244"/>
      <c r="Z27" s="2244"/>
      <c r="AA27" s="2244"/>
      <c r="AB27" s="2244"/>
      <c r="AC27" s="2244"/>
      <c r="AD27" s="2244"/>
      <c r="AE27" s="2244"/>
      <c r="AF27" s="264"/>
      <c r="AG27" s="2244" t="str">
        <f>IF(TITLE_NAME_OR_PR_CHANGE="",IF(TITLE_NAME_OR_PR="","",TITLE_NAME_OR_PR),TITLE_NAME_OR_PR_CHANGE)</f>
        <v/>
      </c>
      <c r="AH27" s="2244"/>
      <c r="AI27" s="2244"/>
      <c r="AJ27" s="2244"/>
      <c r="AK27" s="2244"/>
      <c r="AL27" s="2244"/>
      <c r="AM27" s="2244"/>
      <c r="AN27" s="2244"/>
      <c r="AO27" s="2244"/>
      <c r="AP27" s="2244"/>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42" t="s">
        <v>426</v>
      </c>
      <c r="T28" s="2242"/>
      <c r="U28" s="1299"/>
      <c r="V28" s="2243">
        <f>IF(TITLE_DATE_PR_CHANGE="",IF(TITLE_DATE_PR="","",TITLE_DATE_PR),TITLE_DATE_PR_CHANGE)</f>
        <v>45777</v>
      </c>
      <c r="W28" s="2243"/>
      <c r="X28" s="2243"/>
      <c r="Y28" s="2243"/>
      <c r="Z28" s="2243"/>
      <c r="AA28" s="2243"/>
      <c r="AB28" s="2243"/>
      <c r="AC28" s="2243"/>
      <c r="AD28" s="2243"/>
      <c r="AE28" s="2243"/>
      <c r="AF28" s="264"/>
      <c r="AG28" s="2243">
        <f>IF(TITLE_DATE_PR_CHANGE="",IF(TITLE_DATE_PR="","",TITLE_DATE_PR),TITLE_DATE_PR_CHANGE)</f>
        <v>45777</v>
      </c>
      <c r="AH28" s="2243"/>
      <c r="AI28" s="2243"/>
      <c r="AJ28" s="2243"/>
      <c r="AK28" s="2243"/>
      <c r="AL28" s="2243"/>
      <c r="AM28" s="2243"/>
      <c r="AN28" s="2243"/>
      <c r="AO28" s="2243"/>
      <c r="AP28" s="2243"/>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42" t="s">
        <v>427</v>
      </c>
      <c r="T29" s="2242"/>
      <c r="U29" s="1299"/>
      <c r="V29" s="2244" t="str">
        <f>IF(TITLE_NUMBER_PR_CHANGE="",IF(TITLE_NUMBER_PR="","",TITLE_NUMBER_PR),TITLE_NUMBER_PR_CHANGE)</f>
        <v>466</v>
      </c>
      <c r="W29" s="2244"/>
      <c r="X29" s="2244"/>
      <c r="Y29" s="2244"/>
      <c r="Z29" s="2244"/>
      <c r="AA29" s="2244"/>
      <c r="AB29" s="2244"/>
      <c r="AC29" s="2244"/>
      <c r="AD29" s="2244"/>
      <c r="AE29" s="2244"/>
      <c r="AF29" s="264"/>
      <c r="AG29" s="2244" t="str">
        <f>IF(TITLE_NUMBER_PR_CHANGE="",IF(TITLE_NUMBER_PR="","",TITLE_NUMBER_PR),TITLE_NUMBER_PR_CHANGE)</f>
        <v>466</v>
      </c>
      <c r="AH29" s="2244"/>
      <c r="AI29" s="2244"/>
      <c r="AJ29" s="2244"/>
      <c r="AK29" s="2244"/>
      <c r="AL29" s="2244"/>
      <c r="AM29" s="2244"/>
      <c r="AN29" s="2244"/>
      <c r="AO29" s="2244"/>
      <c r="AP29" s="2244"/>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42" t="s">
        <v>43</v>
      </c>
      <c r="T30" s="2242"/>
      <c r="U30" s="1299"/>
      <c r="V30" s="2244" t="str">
        <f>IF(TITLE_IST_PUB_CHANGE="",IF(TITLE_IST_PUB="","",TITLE_IST_PUB),TITLE_IST_PUB_CHANGE)</f>
        <v/>
      </c>
      <c r="W30" s="2244"/>
      <c r="X30" s="2244"/>
      <c r="Y30" s="2244"/>
      <c r="Z30" s="2244"/>
      <c r="AA30" s="2244"/>
      <c r="AB30" s="2244"/>
      <c r="AC30" s="2244"/>
      <c r="AD30" s="2244"/>
      <c r="AE30" s="2244"/>
      <c r="AF30" s="264"/>
      <c r="AG30" s="2244" t="str">
        <f>IF(TITLE_IST_PUB_CHANGE="",IF(TITLE_IST_PUB="","",TITLE_IST_PUB),TITLE_IST_PUB_CHANGE)</f>
        <v/>
      </c>
      <c r="AH30" s="2244"/>
      <c r="AI30" s="2244"/>
      <c r="AJ30" s="2244"/>
      <c r="AK30" s="2244"/>
      <c r="AL30" s="2244"/>
      <c r="AM30" s="2244"/>
      <c r="AN30" s="2244"/>
      <c r="AO30" s="2244"/>
      <c r="AP30" s="2244"/>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42" t="s">
        <v>428</v>
      </c>
      <c r="T32" s="2242"/>
      <c r="U32" s="1299"/>
      <c r="V32" s="2243">
        <f>IF(TITLE_DATE_PR_CHANGE="",IF(TITLE_DATE_PR="","",TITLE_DATE_PR),TITLE_DATE_PR_CHANGE)</f>
        <v>45777</v>
      </c>
      <c r="W32" s="2243"/>
      <c r="X32" s="2243"/>
      <c r="Y32" s="2243"/>
      <c r="Z32" s="2243"/>
      <c r="AA32" s="2243"/>
      <c r="AB32" s="2243"/>
      <c r="AC32" s="2243"/>
      <c r="AD32" s="2243"/>
      <c r="AE32" s="2243"/>
      <c r="AF32" s="264"/>
      <c r="AG32" s="2243">
        <f>IF(TITLE_DATE_PR_CHANGE="",IF(TITLE_DATE_PR="","",TITLE_DATE_PR),TITLE_DATE_PR_CHANGE)</f>
        <v>45777</v>
      </c>
      <c r="AH32" s="2243"/>
      <c r="AI32" s="2243"/>
      <c r="AJ32" s="2243"/>
      <c r="AK32" s="2243"/>
      <c r="AL32" s="2243"/>
      <c r="AM32" s="2243"/>
      <c r="AN32" s="2243"/>
      <c r="AO32" s="2243"/>
      <c r="AP32" s="2243"/>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42" t="s">
        <v>429</v>
      </c>
      <c r="T33" s="2242"/>
      <c r="U33" s="1299"/>
      <c r="V33" s="2244" t="str">
        <f>IF(TITLE_NUMBER_PR_CHANGE="",IF(TITLE_NUMBER_PR="","",TITLE_NUMBER_PR),TITLE_NUMBER_PR_CHANGE)</f>
        <v>466</v>
      </c>
      <c r="W33" s="2244"/>
      <c r="X33" s="2244"/>
      <c r="Y33" s="2244"/>
      <c r="Z33" s="2244"/>
      <c r="AA33" s="2244"/>
      <c r="AB33" s="2244"/>
      <c r="AC33" s="2244"/>
      <c r="AD33" s="2244"/>
      <c r="AE33" s="2244"/>
      <c r="AF33" s="264"/>
      <c r="AG33" s="2244" t="str">
        <f>IF(TITLE_NUMBER_PR_CHANGE="",IF(TITLE_NUMBER_PR="","",TITLE_NUMBER_PR),TITLE_NUMBER_PR_CHANGE)</f>
        <v>466</v>
      </c>
      <c r="AH33" s="2244"/>
      <c r="AI33" s="2244"/>
      <c r="AJ33" s="2244"/>
      <c r="AK33" s="2244"/>
      <c r="AL33" s="2244"/>
      <c r="AM33" s="2244"/>
      <c r="AN33" s="2244"/>
      <c r="AO33" s="2244"/>
      <c r="AP33" s="2244"/>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Y35" s="1082">
        <v>14</v>
      </c>
    </row>
    <row r="36" spans="1:51" ht="14.65" customHeight="1">
      <c r="Q36" s="313"/>
      <c r="R36" s="313"/>
      <c r="S36" s="2116" t="s">
        <v>306</v>
      </c>
      <c r="T36" s="2116"/>
      <c r="U36" s="2116"/>
      <c r="V36" s="2116"/>
      <c r="W36" s="2116"/>
      <c r="X36" s="2116"/>
      <c r="Y36" s="2116"/>
      <c r="Z36" s="2116"/>
      <c r="AA36" s="2116"/>
      <c r="AB36" s="2116"/>
      <c r="AC36" s="2116"/>
      <c r="AD36" s="2116"/>
      <c r="AE36" s="2116"/>
      <c r="AF36" s="2116"/>
      <c r="AG36" s="2116"/>
      <c r="AH36" s="2116"/>
      <c r="AI36" s="2116"/>
      <c r="AJ36" s="2116"/>
      <c r="AK36" s="2116"/>
      <c r="AL36" s="2116"/>
      <c r="AM36" s="2116"/>
      <c r="AN36" s="2116"/>
      <c r="AO36" s="2116"/>
      <c r="AP36" s="2116"/>
      <c r="AQ36" s="2116"/>
      <c r="AR36" s="2116"/>
      <c r="AS36" s="2116" t="s">
        <v>307</v>
      </c>
      <c r="AY36" s="1082">
        <v>14</v>
      </c>
    </row>
    <row r="37" spans="1:51" ht="14.65" customHeight="1">
      <c r="Q37" s="313"/>
      <c r="R37" s="313"/>
      <c r="S37" s="2264" t="s">
        <v>88</v>
      </c>
      <c r="T37" s="2212" t="s">
        <v>431</v>
      </c>
      <c r="U37" s="239"/>
      <c r="V37" s="2265" t="s">
        <v>432</v>
      </c>
      <c r="W37" s="2266"/>
      <c r="X37" s="2266"/>
      <c r="Y37" s="2266"/>
      <c r="Z37" s="2266"/>
      <c r="AA37" s="2266"/>
      <c r="AB37" s="2266"/>
      <c r="AC37" s="2266"/>
      <c r="AD37" s="2266"/>
      <c r="AE37" s="2267"/>
      <c r="AF37" s="2268" t="s">
        <v>433</v>
      </c>
      <c r="AG37" s="2265" t="s">
        <v>432</v>
      </c>
      <c r="AH37" s="2266"/>
      <c r="AI37" s="2266"/>
      <c r="AJ37" s="2266"/>
      <c r="AK37" s="2266"/>
      <c r="AL37" s="2266"/>
      <c r="AM37" s="2266"/>
      <c r="AN37" s="2266"/>
      <c r="AO37" s="2266"/>
      <c r="AP37" s="2267"/>
      <c r="AQ37" s="2268" t="s">
        <v>434</v>
      </c>
      <c r="AR37" s="2271" t="s">
        <v>435</v>
      </c>
      <c r="AS37" s="2116"/>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64"/>
      <c r="T38" s="2212"/>
      <c r="U38" s="961"/>
      <c r="V38" s="2116" t="s">
        <v>545</v>
      </c>
      <c r="W38" s="2346" t="s">
        <v>546</v>
      </c>
      <c r="X38" s="2346"/>
      <c r="Y38" s="2346"/>
      <c r="Z38" s="2346" t="s">
        <v>547</v>
      </c>
      <c r="AA38" s="2346"/>
      <c r="AB38" s="2346"/>
      <c r="AC38" s="2185" t="s">
        <v>439</v>
      </c>
      <c r="AD38" s="2302"/>
      <c r="AE38" s="2186"/>
      <c r="AF38" s="2269"/>
      <c r="AG38" s="2116" t="s">
        <v>545</v>
      </c>
      <c r="AH38" s="2346" t="s">
        <v>546</v>
      </c>
      <c r="AI38" s="2346"/>
      <c r="AJ38" s="2346"/>
      <c r="AK38" s="2346" t="s">
        <v>547</v>
      </c>
      <c r="AL38" s="2346"/>
      <c r="AM38" s="2346"/>
      <c r="AN38" s="2185" t="s">
        <v>439</v>
      </c>
      <c r="AO38" s="2302"/>
      <c r="AP38" s="2186"/>
      <c r="AQ38" s="2269"/>
      <c r="AR38" s="2272"/>
      <c r="AS38" s="2116"/>
      <c r="AT38" s="1563"/>
      <c r="AU38" s="1563"/>
      <c r="AV38" s="1563"/>
      <c r="AW38" s="1563"/>
      <c r="AX38" s="1563"/>
      <c r="AY38" s="1558">
        <v>19</v>
      </c>
    </row>
    <row r="39" spans="1:51" ht="19.899999999999999" customHeight="1">
      <c r="Q39" s="313"/>
      <c r="R39" s="313"/>
      <c r="S39" s="2264"/>
      <c r="T39" s="2212"/>
      <c r="U39" s="961"/>
      <c r="V39" s="2116"/>
      <c r="W39" s="2346" t="s">
        <v>548</v>
      </c>
      <c r="X39" s="2346" t="s">
        <v>549</v>
      </c>
      <c r="Y39" s="2346"/>
      <c r="Z39" s="2346" t="s">
        <v>550</v>
      </c>
      <c r="AA39" s="2346" t="s">
        <v>549</v>
      </c>
      <c r="AB39" s="2346"/>
      <c r="AC39" s="2190"/>
      <c r="AD39" s="2303"/>
      <c r="AE39" s="2191"/>
      <c r="AF39" s="2269"/>
      <c r="AG39" s="2116"/>
      <c r="AH39" s="2346" t="s">
        <v>548</v>
      </c>
      <c r="AI39" s="2346" t="s">
        <v>549</v>
      </c>
      <c r="AJ39" s="2346"/>
      <c r="AK39" s="2346" t="s">
        <v>550</v>
      </c>
      <c r="AL39" s="2346" t="s">
        <v>549</v>
      </c>
      <c r="AM39" s="2346"/>
      <c r="AN39" s="2190"/>
      <c r="AO39" s="2303"/>
      <c r="AP39" s="2191"/>
      <c r="AQ39" s="2269"/>
      <c r="AR39" s="2272"/>
      <c r="AS39" s="2116"/>
      <c r="AY39" s="1082">
        <v>19</v>
      </c>
    </row>
    <row r="40" spans="1:51" ht="61.9" customHeight="1">
      <c r="A40" s="1297"/>
      <c r="B40" s="1297" t="s">
        <v>136</v>
      </c>
      <c r="C40" s="1297" t="s">
        <v>137</v>
      </c>
      <c r="D40" s="1297" t="s">
        <v>138</v>
      </c>
      <c r="E40" s="1291" t="s">
        <v>440</v>
      </c>
      <c r="F40" s="1291" t="s">
        <v>441</v>
      </c>
      <c r="G40" s="1291" t="s">
        <v>442</v>
      </c>
      <c r="H40" s="1291"/>
      <c r="I40" s="1291" t="s">
        <v>503</v>
      </c>
      <c r="J40" s="1291" t="s">
        <v>445</v>
      </c>
      <c r="K40" s="1291" t="s">
        <v>504</v>
      </c>
      <c r="L40" s="1291" t="s">
        <v>421</v>
      </c>
      <c r="Q40" s="313"/>
      <c r="R40" s="313"/>
      <c r="S40" s="2264"/>
      <c r="T40" s="2212"/>
      <c r="U40" s="240"/>
      <c r="V40" s="2116"/>
      <c r="W40" s="2346"/>
      <c r="X40" s="1905" t="s">
        <v>551</v>
      </c>
      <c r="Y40" s="1905" t="s">
        <v>552</v>
      </c>
      <c r="Z40" s="2346"/>
      <c r="AA40" s="1905" t="s">
        <v>553</v>
      </c>
      <c r="AB40" s="1905" t="s">
        <v>554</v>
      </c>
      <c r="AC40" s="1416" t="s">
        <v>449</v>
      </c>
      <c r="AD40" s="2217" t="s">
        <v>450</v>
      </c>
      <c r="AE40" s="2231"/>
      <c r="AF40" s="2270"/>
      <c r="AG40" s="2116"/>
      <c r="AH40" s="2346"/>
      <c r="AI40" s="1905" t="s">
        <v>551</v>
      </c>
      <c r="AJ40" s="1905" t="s">
        <v>552</v>
      </c>
      <c r="AK40" s="2346"/>
      <c r="AL40" s="1905" t="s">
        <v>553</v>
      </c>
      <c r="AM40" s="1905" t="s">
        <v>554</v>
      </c>
      <c r="AN40" s="1416" t="s">
        <v>449</v>
      </c>
      <c r="AO40" s="2217" t="s">
        <v>450</v>
      </c>
      <c r="AP40" s="2231"/>
      <c r="AQ40" s="2270"/>
      <c r="AR40" s="2273"/>
      <c r="AS40" s="2116"/>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62">
        <f ca="1">OFFSET(AD41,0,-1)+1</f>
        <v>3</v>
      </c>
      <c r="AE41" s="2262"/>
      <c r="AF41" s="1409">
        <f ca="1">OFFSET(AF41,0,-2)+1</f>
        <v>4</v>
      </c>
      <c r="AG41" s="1409">
        <f ca="1">OFFSET(AG41,0,-1)+1</f>
        <v>5</v>
      </c>
      <c r="AH41" s="1901"/>
      <c r="AI41" s="1901"/>
      <c r="AJ41" s="1901"/>
      <c r="AK41" s="1901"/>
      <c r="AL41" s="1901"/>
      <c r="AM41" s="1409">
        <f ca="1">OFFSET(AM41,0,-1)+1</f>
        <v>1</v>
      </c>
      <c r="AN41" s="1409">
        <f ca="1">OFFSET(AN41,0,-1)+1</f>
        <v>2</v>
      </c>
      <c r="AO41" s="2262">
        <f ca="1">OFFSET(AO41,0,-1)+1</f>
        <v>3</v>
      </c>
      <c r="AP41" s="2262"/>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51">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52"/>
      <c r="F43" s="2251">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52"/>
      <c r="F44" s="2252"/>
      <c r="G44" s="2251">
        <v>1</v>
      </c>
      <c r="H44" s="1290"/>
      <c r="I44" s="1290"/>
      <c r="J44" s="1290"/>
      <c r="K44" s="1290"/>
      <c r="L44" s="1291"/>
      <c r="M44" s="1292"/>
      <c r="N44" s="1292"/>
      <c r="O44" s="1292"/>
      <c r="P44" s="291"/>
      <c r="Q44" s="289"/>
      <c r="R44" s="290"/>
      <c r="S44" s="1420" t="str">
        <f>INDEX(PT_DIFFERENTIATION_NUM_CS,MATCH(C44,PT_DIFFERENTIATION_CS_ID,0))</f>
        <v>..</v>
      </c>
      <c r="T44" s="247" t="s">
        <v>543</v>
      </c>
      <c r="U44" s="238"/>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185" t="s">
        <v>544</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556</v>
      </c>
      <c r="E45" s="2252"/>
      <c r="F45" s="2252"/>
      <c r="G45" s="2252"/>
      <c r="H45" s="2252"/>
      <c r="I45" s="2253" t="str">
        <f>S44&amp;".1"</f>
        <v>...1</v>
      </c>
      <c r="J45" s="1290"/>
      <c r="K45" s="1290"/>
      <c r="L45" s="1291"/>
      <c r="P45" s="2255">
        <v>1</v>
      </c>
      <c r="Q45" s="1408"/>
      <c r="R45" s="293"/>
      <c r="S45" s="1420" t="str">
        <f>$I45</f>
        <v>...1</v>
      </c>
      <c r="T45" s="223" t="s">
        <v>496</v>
      </c>
      <c r="U45" s="238"/>
      <c r="V45" s="2330"/>
      <c r="W45" s="2331"/>
      <c r="X45" s="2331"/>
      <c r="Y45" s="2331"/>
      <c r="Z45" s="2331"/>
      <c r="AA45" s="2331"/>
      <c r="AB45" s="2331"/>
      <c r="AC45" s="2331"/>
      <c r="AD45" s="2331"/>
      <c r="AE45" s="2331"/>
      <c r="AF45" s="2332"/>
      <c r="AG45" s="2333"/>
      <c r="AH45" s="2334"/>
      <c r="AI45" s="2334"/>
      <c r="AJ45" s="2334"/>
      <c r="AK45" s="2334"/>
      <c r="AL45" s="2334"/>
      <c r="AM45" s="2334"/>
      <c r="AN45" s="2334"/>
      <c r="AO45" s="2334"/>
      <c r="AP45" s="2334"/>
      <c r="AQ45" s="2334"/>
      <c r="AR45" s="2335"/>
      <c r="AS45" s="1185" t="s">
        <v>497</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556</v>
      </c>
      <c r="E46" s="2252"/>
      <c r="F46" s="2252"/>
      <c r="G46" s="2252"/>
      <c r="H46" s="2252"/>
      <c r="I46" s="2254"/>
      <c r="J46" s="2253" t="str">
        <f>I45&amp;".1"</f>
        <v>...1.1</v>
      </c>
      <c r="K46" s="1290"/>
      <c r="L46" s="1291" t="s">
        <v>412</v>
      </c>
      <c r="P46" s="2255"/>
      <c r="Q46" s="2255">
        <v>1</v>
      </c>
      <c r="R46" s="294"/>
      <c r="S46" s="1420" t="str">
        <f>$J46</f>
        <v>...1.1</v>
      </c>
      <c r="T46" s="224" t="s">
        <v>413</v>
      </c>
      <c r="U46" s="238"/>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34" t="s">
        <v>498</v>
      </c>
      <c r="AU46" s="437"/>
      <c r="AV46" s="437" t="str">
        <f t="shared" si="1"/>
        <v>Группа потребителей</v>
      </c>
      <c r="AW46" s="437"/>
      <c r="AX46" s="437"/>
      <c r="AY46" s="1082">
        <v>23</v>
      </c>
    </row>
    <row r="47" spans="1:51" ht="24" customHeight="1">
      <c r="A47" s="1290" t="s">
        <v>262</v>
      </c>
      <c r="B47" s="1290" t="s">
        <v>263</v>
      </c>
      <c r="C47" s="1290" t="s">
        <v>264</v>
      </c>
      <c r="D47" s="1290" t="s">
        <v>556</v>
      </c>
      <c r="E47" s="2252"/>
      <c r="F47" s="2252"/>
      <c r="G47" s="2252"/>
      <c r="H47" s="2252"/>
      <c r="I47" s="2254"/>
      <c r="J47" s="2254"/>
      <c r="K47" s="2253" t="str">
        <f>J46&amp;".1"</f>
        <v>...1.1.1</v>
      </c>
      <c r="L47" s="1291"/>
      <c r="P47" s="2255"/>
      <c r="Q47" s="2255"/>
      <c r="R47" s="294">
        <v>1</v>
      </c>
      <c r="S47" s="1420" t="str">
        <f>$K47</f>
        <v>...1.1.1</v>
      </c>
      <c r="T47" s="1364"/>
      <c r="U47" s="238"/>
      <c r="V47" s="1287"/>
      <c r="W47" s="1287"/>
      <c r="X47" s="1287"/>
      <c r="Y47" s="1287"/>
      <c r="Z47" s="1287"/>
      <c r="AA47" s="1287"/>
      <c r="AB47" s="1288"/>
      <c r="AC47" s="2249"/>
      <c r="AD47" s="2248" t="s">
        <v>66</v>
      </c>
      <c r="AE47" s="2249"/>
      <c r="AF47" s="2248" t="s">
        <v>66</v>
      </c>
      <c r="AG47" s="688"/>
      <c r="AH47" s="688"/>
      <c r="AI47" s="688"/>
      <c r="AJ47" s="688"/>
      <c r="AK47" s="688"/>
      <c r="AL47" s="688"/>
      <c r="AM47" s="1184"/>
      <c r="AN47" s="2256"/>
      <c r="AO47" s="2126" t="s">
        <v>66</v>
      </c>
      <c r="AP47" s="2258"/>
      <c r="AQ47" s="2126" t="s">
        <v>19</v>
      </c>
      <c r="AR47" s="1365"/>
      <c r="AS47" s="233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556</v>
      </c>
      <c r="E48" s="2252"/>
      <c r="F48" s="2252"/>
      <c r="G48" s="2252"/>
      <c r="H48" s="2252"/>
      <c r="I48" s="2254"/>
      <c r="J48" s="2254"/>
      <c r="K48" s="2253"/>
      <c r="L48" s="1291"/>
      <c r="P48" s="2255"/>
      <c r="Q48" s="2255"/>
      <c r="R48" s="294"/>
      <c r="S48" s="1417"/>
      <c r="T48" s="238"/>
      <c r="U48" s="238"/>
      <c r="V48" s="1287"/>
      <c r="W48" s="1287"/>
      <c r="X48" s="1287"/>
      <c r="Y48" s="1287"/>
      <c r="Z48" s="1287"/>
      <c r="AA48" s="1287"/>
      <c r="AB48" s="266" t="str">
        <f>AC47&amp;"-"&amp;AE47</f>
        <v>-</v>
      </c>
      <c r="AC48" s="2248"/>
      <c r="AD48" s="2248"/>
      <c r="AE48" s="2248"/>
      <c r="AF48" s="2248"/>
      <c r="AG48" s="263"/>
      <c r="AH48" s="263"/>
      <c r="AI48" s="263"/>
      <c r="AJ48" s="263"/>
      <c r="AK48" s="263"/>
      <c r="AL48" s="263"/>
      <c r="AM48" s="266" t="str">
        <f>AN47&amp;"-"&amp;AP47</f>
        <v>-</v>
      </c>
      <c r="AN48" s="2257"/>
      <c r="AO48" s="2126"/>
      <c r="AP48" s="2259"/>
      <c r="AQ48" s="2126"/>
      <c r="AR48" s="1366"/>
      <c r="AS48" s="2336"/>
      <c r="AU48" s="437"/>
      <c r="AV48" s="437" t="str">
        <f t="shared" si="1"/>
        <v/>
      </c>
      <c r="AW48" s="437"/>
      <c r="AX48" s="437"/>
      <c r="AY48" s="1082">
        <v>0</v>
      </c>
    </row>
    <row r="49" spans="1:51" ht="21" customHeight="1">
      <c r="A49" s="1290" t="s">
        <v>262</v>
      </c>
      <c r="B49" s="1290" t="s">
        <v>263</v>
      </c>
      <c r="C49" s="1290" t="s">
        <v>264</v>
      </c>
      <c r="D49" s="1290" t="s">
        <v>556</v>
      </c>
      <c r="E49" s="2252"/>
      <c r="F49" s="2252"/>
      <c r="G49" s="2252"/>
      <c r="H49" s="2252"/>
      <c r="I49" s="2254"/>
      <c r="J49" s="2253"/>
      <c r="K49" s="1290"/>
      <c r="L49" s="1291"/>
      <c r="P49" s="2255"/>
      <c r="Q49" s="2255"/>
      <c r="R49" s="293"/>
      <c r="S49" s="1205"/>
      <c r="T49" s="225" t="s">
        <v>499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500</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556</v>
      </c>
      <c r="E50" s="2252"/>
      <c r="F50" s="2252"/>
      <c r="G50" s="2252"/>
      <c r="H50" s="2252"/>
      <c r="I50" s="2253"/>
      <c r="J50" s="1290"/>
      <c r="K50" s="1290"/>
      <c r="L50" s="1291"/>
      <c r="P50" s="2255"/>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556</v>
      </c>
      <c r="E51" s="2252"/>
      <c r="F51" s="2252"/>
      <c r="G51" s="2252"/>
      <c r="H51" s="2251"/>
      <c r="I51" s="1290"/>
      <c r="J51" s="1290"/>
      <c r="K51" s="1290"/>
      <c r="L51" s="1291"/>
      <c r="M51" s="1292"/>
      <c r="N51" s="1292"/>
      <c r="O51" s="474"/>
      <c r="P51" s="297"/>
      <c r="Q51" s="312"/>
      <c r="R51" s="292"/>
      <c r="S51" s="1205"/>
      <c r="T51" s="309" t="s">
        <v>501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52"/>
      <c r="F52" s="2251"/>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51"/>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82">
        <v>14</v>
      </c>
    </row>
    <row r="57" spans="1:51" ht="14.65" customHeight="1">
      <c r="O57" s="474"/>
      <c r="AY57" s="1082">
        <v>14</v>
      </c>
    </row>
    <row r="58" spans="1:51" ht="14.65" customHeight="1">
      <c r="O58" s="474"/>
      <c r="S58" s="118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6"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51">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52"/>
      <c r="F3" s="2251">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85" t="s">
        <v>404</v>
      </c>
      <c r="BE3" s="437"/>
      <c r="BF3" s="437" t="str">
        <f t="shared" si="0"/>
        <v>Территория действия тарифа</v>
      </c>
      <c r="BG3" s="437"/>
      <c r="BH3" s="437"/>
      <c r="BI3" s="1082">
        <v>0</v>
      </c>
    </row>
    <row r="4" spans="1:61" ht="33.75" hidden="1" customHeight="1">
      <c r="A4" s="1290"/>
      <c r="B4" s="1290"/>
      <c r="C4" s="1290"/>
      <c r="D4" s="1290"/>
      <c r="E4" s="2252"/>
      <c r="F4" s="2252"/>
      <c r="G4" s="2251">
        <v>1</v>
      </c>
      <c r="H4" s="1290"/>
      <c r="I4" s="1290"/>
      <c r="J4" s="1290"/>
      <c r="K4" s="1290"/>
      <c r="L4" s="1291"/>
      <c r="M4" s="1292"/>
      <c r="N4" s="1292"/>
      <c r="O4" s="1292"/>
      <c r="P4" s="1339"/>
      <c r="Q4" s="1338"/>
      <c r="R4" s="290"/>
      <c r="S4" s="1420" t="e">
        <f>INDEX(PT_DIFFERENTIATION_NUM_CS,MATCH(C4,PT_DIFFERENTIATION_CS_ID,0))</f>
        <v>#N/A</v>
      </c>
      <c r="T4" s="247" t="s">
        <v>543</v>
      </c>
      <c r="U4" s="238"/>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85" t="s">
        <v>544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52"/>
      <c r="F5" s="2252"/>
      <c r="G5" s="2252"/>
      <c r="H5" s="2251">
        <v>1</v>
      </c>
      <c r="I5" s="1270"/>
      <c r="J5" s="1270"/>
      <c r="K5" s="1270"/>
      <c r="L5" s="1273"/>
      <c r="M5" s="1242"/>
      <c r="N5" s="1242"/>
      <c r="O5" s="1242"/>
      <c r="P5" s="1424"/>
      <c r="Q5" s="1425"/>
      <c r="R5" s="294"/>
      <c r="S5" s="972"/>
      <c r="T5" s="1426"/>
      <c r="U5" s="1311"/>
      <c r="V5" s="2292"/>
      <c r="W5" s="2292"/>
      <c r="X5" s="2292"/>
      <c r="Y5" s="2292"/>
      <c r="Z5" s="2292"/>
      <c r="AA5" s="2292"/>
      <c r="AB5" s="2292"/>
      <c r="AC5" s="2293"/>
      <c r="AD5" s="2291"/>
      <c r="AE5" s="2292"/>
      <c r="AF5" s="2292"/>
      <c r="AG5" s="2292"/>
      <c r="AH5" s="2292"/>
      <c r="AI5" s="2292"/>
      <c r="AJ5" s="2292"/>
      <c r="AK5" s="2292"/>
      <c r="AL5" s="2292"/>
      <c r="AM5" s="2292"/>
      <c r="AN5" s="2292"/>
      <c r="AO5" s="2292"/>
      <c r="AP5" s="2292"/>
      <c r="AQ5" s="2292"/>
      <c r="AR5" s="2292"/>
      <c r="AS5" s="2292"/>
      <c r="AT5" s="2292"/>
      <c r="AU5" s="2292"/>
      <c r="AV5" s="2292"/>
      <c r="AW5" s="2292"/>
      <c r="AX5" s="2292"/>
      <c r="AY5" s="2292"/>
      <c r="AZ5" s="2292"/>
      <c r="BA5" s="2292"/>
      <c r="BB5" s="2293"/>
      <c r="BC5" s="1312" t="s">
        <v>408</v>
      </c>
      <c r="BE5" s="437"/>
      <c r="BF5" s="437" t="str">
        <f t="shared" si="0"/>
        <v/>
      </c>
      <c r="BG5" s="437"/>
      <c r="BH5" s="437"/>
      <c r="BI5" s="448">
        <v>0</v>
      </c>
    </row>
    <row r="6" spans="1:61" s="1569" customFormat="1" ht="14.25" hidden="1" customHeight="1">
      <c r="A6" s="1270"/>
      <c r="B6" s="1270"/>
      <c r="C6" s="1270"/>
      <c r="D6" s="1270"/>
      <c r="E6" s="2252"/>
      <c r="F6" s="2252"/>
      <c r="G6" s="2252"/>
      <c r="H6" s="2252"/>
      <c r="I6" s="2253" t="str">
        <f>S5&amp;".1"</f>
        <v>.1</v>
      </c>
      <c r="J6" s="1270"/>
      <c r="K6" s="1270"/>
      <c r="L6" s="1273" t="s">
        <v>409</v>
      </c>
      <c r="M6" s="447"/>
      <c r="N6" s="447"/>
      <c r="O6" s="447"/>
      <c r="P6" s="2255">
        <v>1</v>
      </c>
      <c r="Q6" s="1408"/>
      <c r="R6" s="293"/>
      <c r="S6" s="972"/>
      <c r="T6" s="1310"/>
      <c r="U6" s="1311"/>
      <c r="V6" s="2292"/>
      <c r="W6" s="2292"/>
      <c r="X6" s="2292"/>
      <c r="Y6" s="2292"/>
      <c r="Z6" s="2292"/>
      <c r="AA6" s="2292"/>
      <c r="AB6" s="2292"/>
      <c r="AC6" s="2293"/>
      <c r="AD6" s="2291"/>
      <c r="AE6" s="2292"/>
      <c r="AF6" s="2292"/>
      <c r="AG6" s="2292"/>
      <c r="AH6" s="2292"/>
      <c r="AI6" s="2292"/>
      <c r="AJ6" s="2292"/>
      <c r="AK6" s="2292"/>
      <c r="AL6" s="2292"/>
      <c r="AM6" s="2292"/>
      <c r="AN6" s="2292"/>
      <c r="AO6" s="2292"/>
      <c r="AP6" s="2292"/>
      <c r="AQ6" s="2292"/>
      <c r="AR6" s="2292"/>
      <c r="AS6" s="2292"/>
      <c r="AT6" s="2292"/>
      <c r="AU6" s="2292"/>
      <c r="AV6" s="2292"/>
      <c r="AW6" s="2292"/>
      <c r="AX6" s="2292"/>
      <c r="AY6" s="2292"/>
      <c r="AZ6" s="2292"/>
      <c r="BA6" s="2292"/>
      <c r="BB6" s="2293"/>
      <c r="BC6" s="1312"/>
      <c r="BE6" s="437"/>
      <c r="BF6" s="437" t="str">
        <f t="shared" si="0"/>
        <v/>
      </c>
      <c r="BG6" s="437"/>
      <c r="BH6" s="437"/>
      <c r="BI6" s="448">
        <v>0</v>
      </c>
    </row>
    <row r="7" spans="1:61" s="1569" customFormat="1" ht="14.25" hidden="1" customHeight="1">
      <c r="A7" s="1270"/>
      <c r="B7" s="1270"/>
      <c r="C7" s="1270"/>
      <c r="D7" s="1270"/>
      <c r="E7" s="2252"/>
      <c r="F7" s="2252"/>
      <c r="G7" s="2252"/>
      <c r="H7" s="2252"/>
      <c r="I7" s="2254"/>
      <c r="J7" s="2253" t="str">
        <f>S5&amp;".1"</f>
        <v>.1</v>
      </c>
      <c r="K7" s="1270"/>
      <c r="L7" s="1273"/>
      <c r="M7" s="447"/>
      <c r="N7" s="447"/>
      <c r="O7" s="447"/>
      <c r="P7" s="2255"/>
      <c r="Q7" s="2255">
        <v>1</v>
      </c>
      <c r="R7" s="294"/>
      <c r="S7" s="972"/>
      <c r="T7" s="1326"/>
      <c r="U7" s="1311"/>
      <c r="V7" s="2292"/>
      <c r="W7" s="2292"/>
      <c r="X7" s="2292"/>
      <c r="Y7" s="2292"/>
      <c r="Z7" s="2292"/>
      <c r="AA7" s="2292"/>
      <c r="AB7" s="2292"/>
      <c r="AC7" s="2293"/>
      <c r="AD7" s="2291"/>
      <c r="AE7" s="2292"/>
      <c r="AF7" s="2292"/>
      <c r="AG7" s="2292"/>
      <c r="AH7" s="2292"/>
      <c r="AI7" s="2292"/>
      <c r="AJ7" s="2292"/>
      <c r="AK7" s="2292"/>
      <c r="AL7" s="2292"/>
      <c r="AM7" s="2292"/>
      <c r="AN7" s="2292"/>
      <c r="AO7" s="2292"/>
      <c r="AP7" s="2292"/>
      <c r="AQ7" s="2292"/>
      <c r="AR7" s="2292"/>
      <c r="AS7" s="2292"/>
      <c r="AT7" s="2292"/>
      <c r="AU7" s="2292"/>
      <c r="AV7" s="2292"/>
      <c r="AW7" s="2292"/>
      <c r="AX7" s="2292"/>
      <c r="AY7" s="2292"/>
      <c r="AZ7" s="2292"/>
      <c r="BA7" s="2292"/>
      <c r="BB7" s="2293"/>
      <c r="BC7" s="1312"/>
      <c r="BE7" s="437"/>
      <c r="BF7" s="437" t="str">
        <f t="shared" si="0"/>
        <v/>
      </c>
      <c r="BG7" s="437"/>
      <c r="BH7" s="437"/>
      <c r="BI7" s="448">
        <v>0</v>
      </c>
    </row>
    <row r="8" spans="1:61" ht="11.25" hidden="1" customHeight="1">
      <c r="A8" s="1290"/>
      <c r="B8" s="1290"/>
      <c r="C8" s="1290"/>
      <c r="D8" s="1290"/>
      <c r="E8" s="2252"/>
      <c r="F8" s="2252"/>
      <c r="G8" s="2252"/>
      <c r="H8" s="2252"/>
      <c r="I8" s="2254"/>
      <c r="J8" s="2254"/>
      <c r="K8" s="2253" t="e">
        <f>S4&amp;".1"</f>
        <v>#N/A</v>
      </c>
      <c r="L8" s="1291"/>
      <c r="P8" s="2255"/>
      <c r="Q8" s="2255"/>
      <c r="R8" s="2320">
        <v>1</v>
      </c>
      <c r="S8" s="2317" t="e">
        <f>$K8</f>
        <v>#N/A</v>
      </c>
      <c r="T8" s="2339"/>
      <c r="U8" s="238"/>
      <c r="V8" s="688"/>
      <c r="W8" s="1184"/>
      <c r="X8" s="688"/>
      <c r="Y8" s="1184"/>
      <c r="Z8" s="1660"/>
      <c r="AA8" s="1396" t="s">
        <v>66</v>
      </c>
      <c r="AB8" s="1660"/>
      <c r="AC8" s="1396" t="s">
        <v>66</v>
      </c>
      <c r="AD8" s="2176" t="s">
        <v>66</v>
      </c>
      <c r="AE8" s="2313"/>
      <c r="AF8" s="2208">
        <v>1</v>
      </c>
      <c r="AG8" s="2338"/>
      <c r="AH8" s="2126" t="s">
        <v>66</v>
      </c>
      <c r="AI8" s="2313"/>
      <c r="AJ8" s="2208">
        <v>1</v>
      </c>
      <c r="AK8" s="2327" t="s">
        <v>28</v>
      </c>
      <c r="AL8" s="2126" t="s">
        <v>66</v>
      </c>
      <c r="AM8" s="2185"/>
      <c r="AN8" s="2208">
        <v>1</v>
      </c>
      <c r="AO8" s="2342"/>
      <c r="AP8" s="2343" t="s">
        <v>66</v>
      </c>
      <c r="AQ8" s="249"/>
      <c r="AR8" s="1413">
        <v>1</v>
      </c>
      <c r="AS8" s="1419" t="s">
        <v>28</v>
      </c>
      <c r="AT8" s="688"/>
      <c r="AU8" s="1184"/>
      <c r="AV8" s="688"/>
      <c r="AW8" s="1184"/>
      <c r="AX8" s="1660"/>
      <c r="AY8" s="1396" t="s">
        <v>66</v>
      </c>
      <c r="AZ8" s="1660"/>
      <c r="BA8" s="1396" t="s">
        <v>66</v>
      </c>
      <c r="BB8" s="1275"/>
      <c r="BC8" s="2274" t="s">
        <v>514</v>
      </c>
      <c r="BE8" s="437"/>
      <c r="BF8" s="437" t="str">
        <f t="shared" si="0"/>
        <v/>
      </c>
      <c r="BG8" s="437"/>
      <c r="BH8" s="437"/>
      <c r="BI8" s="1082">
        <v>0</v>
      </c>
    </row>
    <row r="9" spans="1:61" ht="11.25" hidden="1" customHeight="1">
      <c r="A9" s="1290"/>
      <c r="B9" s="1290"/>
      <c r="C9" s="1290"/>
      <c r="D9" s="1290"/>
      <c r="E9" s="2252"/>
      <c r="F9" s="2252"/>
      <c r="G9" s="2252"/>
      <c r="H9" s="2252"/>
      <c r="I9" s="2254"/>
      <c r="J9" s="2254"/>
      <c r="K9" s="2253"/>
      <c r="L9" s="1291"/>
      <c r="P9" s="2255"/>
      <c r="Q9" s="2255"/>
      <c r="R9" s="2320"/>
      <c r="S9" s="2318"/>
      <c r="T9" s="2340"/>
      <c r="U9" s="238"/>
      <c r="V9" s="1320"/>
      <c r="W9" s="1423"/>
      <c r="X9" s="1320"/>
      <c r="Y9" s="1423"/>
      <c r="Z9" s="1320"/>
      <c r="AA9" s="1320"/>
      <c r="AB9" s="1320"/>
      <c r="AC9" s="1320"/>
      <c r="AD9" s="2177"/>
      <c r="AE9" s="2313"/>
      <c r="AF9" s="2208"/>
      <c r="AG9" s="2338"/>
      <c r="AH9" s="2126"/>
      <c r="AI9" s="2313"/>
      <c r="AJ9" s="2208"/>
      <c r="AK9" s="2327"/>
      <c r="AL9" s="2126"/>
      <c r="AM9" s="2190"/>
      <c r="AN9" s="2208"/>
      <c r="AO9" s="2342"/>
      <c r="AP9" s="2344"/>
      <c r="AQ9" s="254"/>
      <c r="AR9" s="353"/>
      <c r="AS9" s="353" t="s">
        <v>515</v>
      </c>
      <c r="AT9" s="1320"/>
      <c r="AU9" s="1423"/>
      <c r="AV9" s="1320"/>
      <c r="AW9" s="1423"/>
      <c r="AX9" s="1320"/>
      <c r="AY9" s="1320"/>
      <c r="AZ9" s="1320"/>
      <c r="BA9" s="1320"/>
      <c r="BB9" s="1324"/>
      <c r="BC9" s="2275"/>
      <c r="BE9" s="437"/>
      <c r="BF9" s="437"/>
      <c r="BG9" s="437"/>
      <c r="BH9" s="437"/>
      <c r="BI9" s="1082">
        <v>0</v>
      </c>
    </row>
    <row r="10" spans="1:61" ht="11.25" hidden="1" customHeight="1">
      <c r="A10" s="1290"/>
      <c r="B10" s="1290"/>
      <c r="C10" s="1290"/>
      <c r="D10" s="1290"/>
      <c r="E10" s="2252"/>
      <c r="F10" s="2252"/>
      <c r="G10" s="2252"/>
      <c r="H10" s="2252"/>
      <c r="I10" s="2254"/>
      <c r="J10" s="2254"/>
      <c r="K10" s="2253"/>
      <c r="L10" s="1291"/>
      <c r="P10" s="2255"/>
      <c r="Q10" s="2255"/>
      <c r="R10" s="2320"/>
      <c r="S10" s="2318"/>
      <c r="T10" s="2340"/>
      <c r="U10" s="238"/>
      <c r="V10" s="1320"/>
      <c r="W10" s="1423"/>
      <c r="X10" s="1320"/>
      <c r="Y10" s="1423"/>
      <c r="Z10" s="1320"/>
      <c r="AA10" s="1320"/>
      <c r="AB10" s="1320"/>
      <c r="AC10" s="1320"/>
      <c r="AD10" s="2177"/>
      <c r="AE10" s="2313"/>
      <c r="AF10" s="2208"/>
      <c r="AG10" s="2338"/>
      <c r="AH10" s="2126"/>
      <c r="AI10" s="2313"/>
      <c r="AJ10" s="2208"/>
      <c r="AK10" s="2327"/>
      <c r="AL10" s="2126"/>
      <c r="AM10" s="254"/>
      <c r="AN10" s="1427"/>
      <c r="AO10" s="1427" t="s">
        <v>516</v>
      </c>
      <c r="AP10" s="353"/>
      <c r="AQ10" s="353"/>
      <c r="AR10" s="353"/>
      <c r="AS10" s="1320"/>
      <c r="AT10" s="1320"/>
      <c r="AU10" s="1423"/>
      <c r="AV10" s="1320"/>
      <c r="AW10" s="1423"/>
      <c r="AX10" s="1320"/>
      <c r="AY10" s="1320"/>
      <c r="AZ10" s="1320"/>
      <c r="BA10" s="1320"/>
      <c r="BB10" s="1324"/>
      <c r="BC10" s="2275"/>
      <c r="BE10" s="437"/>
      <c r="BF10" s="437"/>
      <c r="BG10" s="437"/>
      <c r="BH10" s="437"/>
      <c r="BI10" s="1082">
        <v>0</v>
      </c>
    </row>
    <row r="11" spans="1:61" ht="11.25" hidden="1" customHeight="1">
      <c r="A11" s="1290"/>
      <c r="B11" s="1290"/>
      <c r="C11" s="1290"/>
      <c r="D11" s="1290"/>
      <c r="E11" s="2252"/>
      <c r="F11" s="2252"/>
      <c r="G11" s="2252"/>
      <c r="H11" s="2252"/>
      <c r="I11" s="2254"/>
      <c r="J11" s="2254"/>
      <c r="K11" s="2253"/>
      <c r="L11" s="1291"/>
      <c r="P11" s="2255"/>
      <c r="Q11" s="2255"/>
      <c r="R11" s="2320"/>
      <c r="S11" s="2318"/>
      <c r="T11" s="2340"/>
      <c r="U11" s="238"/>
      <c r="V11" s="1320"/>
      <c r="W11" s="1423"/>
      <c r="X11" s="1320"/>
      <c r="Y11" s="1423"/>
      <c r="Z11" s="1320"/>
      <c r="AA11" s="1320"/>
      <c r="AB11" s="1320"/>
      <c r="AC11" s="1320"/>
      <c r="AD11" s="2177"/>
      <c r="AE11" s="2313"/>
      <c r="AF11" s="2208"/>
      <c r="AG11" s="2338"/>
      <c r="AH11" s="2126"/>
      <c r="AI11" s="232"/>
      <c r="AJ11" s="352"/>
      <c r="AK11" s="251" t="s">
        <v>517</v>
      </c>
      <c r="AL11" s="1320"/>
      <c r="AM11" s="1320"/>
      <c r="AN11" s="1320"/>
      <c r="AO11" s="1320"/>
      <c r="AP11" s="1320"/>
      <c r="AQ11" s="1320"/>
      <c r="AR11" s="1320"/>
      <c r="AS11" s="1320"/>
      <c r="AT11" s="1320"/>
      <c r="AU11" s="1423"/>
      <c r="AV11" s="1320"/>
      <c r="AW11" s="1423"/>
      <c r="AX11" s="1320"/>
      <c r="AY11" s="1320"/>
      <c r="AZ11" s="1320"/>
      <c r="BA11" s="1320"/>
      <c r="BB11" s="1324"/>
      <c r="BC11" s="2275"/>
      <c r="BE11" s="437"/>
      <c r="BF11" s="437"/>
      <c r="BG11" s="437"/>
      <c r="BH11" s="437"/>
      <c r="BI11" s="1082">
        <v>0</v>
      </c>
    </row>
    <row r="12" spans="1:61" ht="11.25" hidden="1" customHeight="1">
      <c r="A12" s="1290"/>
      <c r="B12" s="1290"/>
      <c r="C12" s="1290"/>
      <c r="D12" s="1290"/>
      <c r="E12" s="2252"/>
      <c r="F12" s="2252"/>
      <c r="G12" s="2252"/>
      <c r="H12" s="2252"/>
      <c r="I12" s="2254"/>
      <c r="J12" s="2254"/>
      <c r="K12" s="2253"/>
      <c r="L12" s="1291"/>
      <c r="P12" s="2255"/>
      <c r="Q12" s="2255"/>
      <c r="R12" s="2320"/>
      <c r="S12" s="2319"/>
      <c r="T12" s="2341"/>
      <c r="U12" s="238"/>
      <c r="V12" s="1320"/>
      <c r="W12" s="1321" t="str">
        <f>Z8&amp;"-"&amp;AB8</f>
        <v>-</v>
      </c>
      <c r="X12" s="1320"/>
      <c r="Y12" s="1321" t="str">
        <f>AB8&amp;"-"&amp;AD8</f>
        <v>-да</v>
      </c>
      <c r="Z12" s="1320"/>
      <c r="AA12" s="1320"/>
      <c r="AB12" s="1320"/>
      <c r="AC12" s="1320"/>
      <c r="AD12" s="2131"/>
      <c r="AE12" s="250"/>
      <c r="AF12" s="252"/>
      <c r="AG12" s="353" t="s">
        <v>518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75"/>
      <c r="BE12" s="437"/>
      <c r="BF12" s="437" t="str">
        <f t="shared" ref="BF12:BF18" si="1">IF(T12="","",T12)</f>
        <v/>
      </c>
      <c r="BG12" s="437"/>
      <c r="BH12" s="437"/>
      <c r="BI12" s="1082">
        <v>0</v>
      </c>
    </row>
    <row r="13" spans="1:61" ht="11.25" hidden="1" customHeight="1">
      <c r="A13" s="1290"/>
      <c r="B13" s="1290"/>
      <c r="C13" s="1290"/>
      <c r="D13" s="1290"/>
      <c r="E13" s="2252"/>
      <c r="F13" s="2252"/>
      <c r="G13" s="2252"/>
      <c r="H13" s="2252"/>
      <c r="I13" s="2254"/>
      <c r="J13" s="2253"/>
      <c r="K13" s="1290"/>
      <c r="L13" s="1291"/>
      <c r="P13" s="2255"/>
      <c r="Q13" s="2255"/>
      <c r="R13" s="293"/>
      <c r="S13" s="1205"/>
      <c r="T13" s="225" t="s">
        <v>473</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76"/>
      <c r="BE13" s="437"/>
      <c r="BF13" s="437" t="str">
        <f t="shared" si="1"/>
        <v>Добавить строку</v>
      </c>
      <c r="BG13" s="437"/>
      <c r="BH13" s="437"/>
      <c r="BI13" s="1082">
        <v>0</v>
      </c>
    </row>
    <row r="14" spans="1:61" s="1569" customFormat="1" ht="14.25" hidden="1" customHeight="1">
      <c r="A14" s="1270"/>
      <c r="B14" s="1270"/>
      <c r="C14" s="1270"/>
      <c r="D14" s="1270"/>
      <c r="E14" s="2252"/>
      <c r="F14" s="2252"/>
      <c r="G14" s="2252"/>
      <c r="H14" s="2252"/>
      <c r="I14" s="2253"/>
      <c r="J14" s="1270"/>
      <c r="K14" s="1270"/>
      <c r="L14" s="1273"/>
      <c r="M14" s="447"/>
      <c r="N14" s="447"/>
      <c r="O14" s="447"/>
      <c r="P14" s="225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52"/>
      <c r="F15" s="2252"/>
      <c r="G15" s="2252"/>
      <c r="H15" s="225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52"/>
      <c r="F16" s="2252"/>
      <c r="G16" s="225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52"/>
      <c r="F17" s="2251"/>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51"/>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474</v>
      </c>
      <c r="AH24" s="1434" t="s">
        <v>474</v>
      </c>
      <c r="AK24" s="1434" t="s">
        <v>519</v>
      </c>
      <c r="AL24" s="1434" t="s">
        <v>474</v>
      </c>
      <c r="AP24" s="1434" t="s">
        <v>474</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3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70"/>
      <c r="BI28" s="1082">
        <v>14</v>
      </c>
    </row>
    <row r="29" spans="1:61" ht="14.65" customHeight="1">
      <c r="Q29" s="229"/>
      <c r="R29" s="313"/>
      <c r="S29" s="2204" t="str">
        <f>IF(org=0,"Не определено",org)</f>
        <v>ООО ПКФ "Энергетик-2001"</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42" t="s">
        <v>42</v>
      </c>
      <c r="T31" s="2242"/>
      <c r="U31" s="1299"/>
      <c r="V31" s="2244" t="str">
        <f>IF(TITLE_NAME_OR_PR_CHANGE="",IF(TITLE_NAME_OR_PR="","",TITLE_NAME_OR_PR),TITLE_NAME_OR_PR_CHANGE)</f>
        <v/>
      </c>
      <c r="W31" s="2244"/>
      <c r="X31" s="2244"/>
      <c r="Y31" s="2244"/>
      <c r="Z31" s="2244"/>
      <c r="AA31" s="2244"/>
      <c r="AB31" s="2244"/>
      <c r="AC31" s="264"/>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42" t="s">
        <v>426</v>
      </c>
      <c r="T32" s="2242"/>
      <c r="U32" s="1299"/>
      <c r="V32" s="2243">
        <f>IF(TITLE_DATE_PR_CHANGE="",IF(TITLE_DATE_PR="","",TITLE_DATE_PR),TITLE_DATE_PR_CHANGE)</f>
        <v>45777</v>
      </c>
      <c r="W32" s="2243"/>
      <c r="X32" s="2243"/>
      <c r="Y32" s="2243"/>
      <c r="Z32" s="2243"/>
      <c r="AA32" s="2243"/>
      <c r="AB32" s="2243"/>
      <c r="AC32" s="264"/>
      <c r="AD32" s="2243">
        <f>IF(TITLE_DATE_PR_CHANGE="",IF(TITLE_DATE_PR="","",TITLE_DATE_PR),TITLE_DATE_PR_CHANGE)</f>
        <v>45777</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42" t="s">
        <v>427</v>
      </c>
      <c r="T33" s="2242"/>
      <c r="U33" s="1299"/>
      <c r="V33" s="2244" t="str">
        <f>IF(TITLE_NUMBER_PR_CHANGE="",IF(TITLE_NUMBER_PR="","",TITLE_NUMBER_PR),TITLE_NUMBER_PR_CHANGE)</f>
        <v>466</v>
      </c>
      <c r="W33" s="2244"/>
      <c r="X33" s="2244"/>
      <c r="Y33" s="2244"/>
      <c r="Z33" s="2244"/>
      <c r="AA33" s="2244"/>
      <c r="AB33" s="2244"/>
      <c r="AC33" s="264"/>
      <c r="AD33" s="2244" t="str">
        <f>IF(TITLE_NUMBER_PR_CHANGE="",IF(TITLE_NUMBER_PR="","",TITLE_NUMBER_PR),TITLE_NUMBER_PR_CHANGE)</f>
        <v>466</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42" t="s">
        <v>43</v>
      </c>
      <c r="T34" s="2242"/>
      <c r="U34" s="1299"/>
      <c r="V34" s="2244" t="str">
        <f>IF(TITLE_IST_PUB_CHANGE="",IF(TITLE_IST_PUB="","",TITLE_IST_PUB),TITLE_IST_PUB_CHANGE)</f>
        <v/>
      </c>
      <c r="W34" s="2244"/>
      <c r="X34" s="2244"/>
      <c r="Y34" s="2244"/>
      <c r="Z34" s="2244"/>
      <c r="AA34" s="2244"/>
      <c r="AB34" s="2244"/>
      <c r="AC34" s="264"/>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42" t="s">
        <v>426</v>
      </c>
      <c r="T36" s="2242"/>
      <c r="U36" s="1299"/>
      <c r="V36" s="2243">
        <f>IF(TITLE_DATE_PR_CHANGE="",IF(TITLE_DATE_PR="","",TITLE_DATE_PR),TITLE_DATE_PR_CHANGE)</f>
        <v>45777</v>
      </c>
      <c r="W36" s="2243"/>
      <c r="X36" s="2243"/>
      <c r="Y36" s="2243"/>
      <c r="Z36" s="2243"/>
      <c r="AA36" s="2243"/>
      <c r="AB36" s="2243"/>
      <c r="AC36" s="264"/>
      <c r="AD36" s="2243">
        <f>IF(TITLE_DATE_PR_CHANGE="",IF(TITLE_DATE_PR="","",TITLE_DATE_PR),TITLE_DATE_PR_CHANGE)</f>
        <v>45777</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42" t="s">
        <v>427</v>
      </c>
      <c r="T37" s="2242"/>
      <c r="U37" s="1299"/>
      <c r="V37" s="2244" t="str">
        <f>IF(TITLE_NUMBER_PR_CHANGE="",IF(TITLE_NUMBER_PR="","",TITLE_NUMBER_PR),TITLE_NUMBER_PR_CHANGE)</f>
        <v>466</v>
      </c>
      <c r="W37" s="2244"/>
      <c r="X37" s="2244"/>
      <c r="Y37" s="2244"/>
      <c r="Z37" s="2244"/>
      <c r="AA37" s="2244"/>
      <c r="AB37" s="2244"/>
      <c r="AC37" s="264"/>
      <c r="AD37" s="2244" t="str">
        <f>IF(TITLE_NUMBER_PR_CHANGE="",IF(TITLE_NUMBER_PR="","",TITLE_NUMBER_PR),TITLE_NUMBER_PR_CHANGE)</f>
        <v>466</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82">
        <v>14</v>
      </c>
    </row>
    <row r="40" spans="1:61" ht="14.65" customHeight="1">
      <c r="Q40" s="229"/>
      <c r="R40" s="313"/>
      <c r="S40" s="2116" t="s">
        <v>306</v>
      </c>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t="s">
        <v>307</v>
      </c>
      <c r="BI40" s="1082">
        <v>14</v>
      </c>
    </row>
    <row r="41" spans="1:61" ht="14.65" customHeight="1">
      <c r="Q41" s="229"/>
      <c r="R41" s="313"/>
      <c r="S41" s="2264" t="s">
        <v>88</v>
      </c>
      <c r="T41" s="2212" t="s">
        <v>520</v>
      </c>
      <c r="U41" s="239"/>
      <c r="V41" s="2265" t="s">
        <v>432</v>
      </c>
      <c r="W41" s="2266"/>
      <c r="X41" s="2266"/>
      <c r="Y41" s="2266"/>
      <c r="Z41" s="2266"/>
      <c r="AA41" s="2266"/>
      <c r="AB41" s="2267"/>
      <c r="AC41" s="2268" t="s">
        <v>433</v>
      </c>
      <c r="AD41" s="2306" t="s">
        <v>521</v>
      </c>
      <c r="AE41" s="2290"/>
      <c r="AF41" s="2290"/>
      <c r="AG41" s="2307"/>
      <c r="AH41" s="2306" t="s">
        <v>522</v>
      </c>
      <c r="AI41" s="2290"/>
      <c r="AJ41" s="2290"/>
      <c r="AK41" s="2307"/>
      <c r="AL41" s="2306" t="s">
        <v>523</v>
      </c>
      <c r="AM41" s="2290"/>
      <c r="AN41" s="2290"/>
      <c r="AO41" s="2307"/>
      <c r="AP41" s="2306" t="s">
        <v>524</v>
      </c>
      <c r="AQ41" s="2290"/>
      <c r="AR41" s="2290"/>
      <c r="AS41" s="2307"/>
      <c r="AT41" s="2265" t="s">
        <v>432</v>
      </c>
      <c r="AU41" s="2266"/>
      <c r="AV41" s="2266"/>
      <c r="AW41" s="2266"/>
      <c r="AX41" s="2266"/>
      <c r="AY41" s="2266"/>
      <c r="AZ41" s="2267"/>
      <c r="BA41" s="2268" t="s">
        <v>433</v>
      </c>
      <c r="BB41" s="2271" t="s">
        <v>435</v>
      </c>
      <c r="BC41" s="2116"/>
      <c r="BI41" s="1082">
        <v>14</v>
      </c>
    </row>
    <row r="42" spans="1:61" ht="35.65" customHeight="1">
      <c r="Q42" s="229"/>
      <c r="R42" s="313"/>
      <c r="S42" s="2264"/>
      <c r="T42" s="2212"/>
      <c r="U42" s="961"/>
      <c r="V42" s="2185" t="s">
        <v>525</v>
      </c>
      <c r="W42" s="2186"/>
      <c r="X42" s="2185" t="s">
        <v>526</v>
      </c>
      <c r="Y42" s="2186"/>
      <c r="Z42" s="2185" t="s">
        <v>527</v>
      </c>
      <c r="AA42" s="2302"/>
      <c r="AB42" s="2186"/>
      <c r="AC42" s="2269"/>
      <c r="AD42" s="2308"/>
      <c r="AE42" s="2309"/>
      <c r="AF42" s="2309"/>
      <c r="AG42" s="2321"/>
      <c r="AH42" s="2308"/>
      <c r="AI42" s="2309"/>
      <c r="AJ42" s="2309"/>
      <c r="AK42" s="2321"/>
      <c r="AL42" s="2308"/>
      <c r="AM42" s="2309"/>
      <c r="AN42" s="2309"/>
      <c r="AO42" s="2321"/>
      <c r="AP42" s="2308"/>
      <c r="AQ42" s="2309"/>
      <c r="AR42" s="2309"/>
      <c r="AS42" s="2321"/>
      <c r="AT42" s="2185" t="s">
        <v>525</v>
      </c>
      <c r="AU42" s="2186"/>
      <c r="AV42" s="2185" t="s">
        <v>526</v>
      </c>
      <c r="AW42" s="2186"/>
      <c r="AX42" s="2185" t="s">
        <v>527</v>
      </c>
      <c r="AY42" s="2302"/>
      <c r="AZ42" s="2186"/>
      <c r="BA42" s="2269"/>
      <c r="BB42" s="2272"/>
      <c r="BC42" s="2116"/>
      <c r="BI42" s="1082">
        <v>34</v>
      </c>
    </row>
    <row r="43" spans="1:61" ht="14.65" customHeight="1">
      <c r="Q43" s="229"/>
      <c r="R43" s="313"/>
      <c r="S43" s="2264"/>
      <c r="T43" s="2212"/>
      <c r="U43" s="961"/>
      <c r="V43" s="2190"/>
      <c r="W43" s="2191"/>
      <c r="X43" s="2190"/>
      <c r="Y43" s="2191"/>
      <c r="Z43" s="2190"/>
      <c r="AA43" s="2303"/>
      <c r="AB43" s="2191"/>
      <c r="AC43" s="2269"/>
      <c r="AD43" s="2308"/>
      <c r="AE43" s="2309"/>
      <c r="AF43" s="2309"/>
      <c r="AG43" s="2321"/>
      <c r="AH43" s="2308"/>
      <c r="AI43" s="2309"/>
      <c r="AJ43" s="2309"/>
      <c r="AK43" s="2321"/>
      <c r="AL43" s="2308"/>
      <c r="AM43" s="2309"/>
      <c r="AN43" s="2309"/>
      <c r="AO43" s="2321"/>
      <c r="AP43" s="2308"/>
      <c r="AQ43" s="2309"/>
      <c r="AR43" s="2309"/>
      <c r="AS43" s="2321"/>
      <c r="AT43" s="2190"/>
      <c r="AU43" s="2191"/>
      <c r="AV43" s="2190"/>
      <c r="AW43" s="2191"/>
      <c r="AX43" s="2190"/>
      <c r="AY43" s="2303"/>
      <c r="AZ43" s="2191"/>
      <c r="BA43" s="2269"/>
      <c r="BB43" s="2272"/>
      <c r="BC43" s="2116"/>
      <c r="BI43" s="1082">
        <v>14</v>
      </c>
    </row>
    <row r="44" spans="1:61" ht="14.65" customHeight="1">
      <c r="A44" s="1297"/>
      <c r="B44" s="1297" t="s">
        <v>136</v>
      </c>
      <c r="C44" s="1297" t="s">
        <v>137</v>
      </c>
      <c r="D44" s="1297" t="s">
        <v>138</v>
      </c>
      <c r="E44" s="1291" t="s">
        <v>440</v>
      </c>
      <c r="F44" s="1291" t="s">
        <v>441</v>
      </c>
      <c r="G44" s="1291" t="s">
        <v>442</v>
      </c>
      <c r="H44" s="1291" t="s">
        <v>443</v>
      </c>
      <c r="I44" s="1291" t="s">
        <v>444</v>
      </c>
      <c r="J44" s="1291" t="s">
        <v>445</v>
      </c>
      <c r="K44" s="1291" t="s">
        <v>446</v>
      </c>
      <c r="L44" s="1291" t="s">
        <v>421</v>
      </c>
      <c r="Q44" s="229"/>
      <c r="R44" s="313"/>
      <c r="S44" s="2264"/>
      <c r="T44" s="2212"/>
      <c r="U44" s="240"/>
      <c r="V44" s="1406" t="s">
        <v>484</v>
      </c>
      <c r="W44" s="1406" t="s">
        <v>485</v>
      </c>
      <c r="X44" s="1406" t="s">
        <v>484</v>
      </c>
      <c r="Y44" s="1406" t="s">
        <v>485</v>
      </c>
      <c r="Z44" s="1416" t="s">
        <v>449</v>
      </c>
      <c r="AA44" s="2217" t="s">
        <v>450</v>
      </c>
      <c r="AB44" s="2231"/>
      <c r="AC44" s="2270"/>
      <c r="AD44" s="2310"/>
      <c r="AE44" s="2311"/>
      <c r="AF44" s="2311"/>
      <c r="AG44" s="2312"/>
      <c r="AH44" s="2310"/>
      <c r="AI44" s="2311"/>
      <c r="AJ44" s="2311"/>
      <c r="AK44" s="2312"/>
      <c r="AL44" s="2310"/>
      <c r="AM44" s="2311"/>
      <c r="AN44" s="2311"/>
      <c r="AO44" s="2312"/>
      <c r="AP44" s="2310"/>
      <c r="AQ44" s="2311"/>
      <c r="AR44" s="2311"/>
      <c r="AS44" s="2312"/>
      <c r="AT44" s="1406" t="s">
        <v>484</v>
      </c>
      <c r="AU44" s="1406" t="s">
        <v>485</v>
      </c>
      <c r="AV44" s="1406" t="s">
        <v>484</v>
      </c>
      <c r="AW44" s="1406" t="s">
        <v>485</v>
      </c>
      <c r="AX44" s="1416" t="s">
        <v>449</v>
      </c>
      <c r="AY44" s="2217" t="s">
        <v>450</v>
      </c>
      <c r="AZ44" s="2231"/>
      <c r="BA44" s="2270"/>
      <c r="BB44" s="2273"/>
      <c r="BC44" s="2116"/>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62">
        <f t="shared" ca="1" si="2"/>
        <v>8</v>
      </c>
      <c r="AB45" s="226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62">
        <f ca="1">OFFSET(AY45,0,-1)+1</f>
        <v>3</v>
      </c>
      <c r="AZ45" s="2262"/>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51">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52"/>
      <c r="F47" s="2251">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52"/>
      <c r="F48" s="2252"/>
      <c r="G48" s="2251">
        <v>1</v>
      </c>
      <c r="H48" s="1290"/>
      <c r="I48" s="1290"/>
      <c r="J48" s="1290"/>
      <c r="K48" s="1290"/>
      <c r="L48" s="1291"/>
      <c r="M48" s="1292"/>
      <c r="N48" s="1292"/>
      <c r="O48" s="1292"/>
      <c r="P48" s="1339"/>
      <c r="Q48" s="1338"/>
      <c r="R48" s="290"/>
      <c r="S48" s="1420" t="str">
        <f>INDEX(PT_DIFFERENTIATION_NUM_CS,MATCH(C48,PT_DIFFERENTIATION_CS_ID,0))</f>
        <v>..</v>
      </c>
      <c r="T48" s="247" t="s">
        <v>543</v>
      </c>
      <c r="U48" s="238"/>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85" t="s">
        <v>544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557</v>
      </c>
      <c r="E49" s="2252"/>
      <c r="F49" s="2252"/>
      <c r="G49" s="2252"/>
      <c r="H49" s="2251">
        <v>1</v>
      </c>
      <c r="I49" s="1270"/>
      <c r="J49" s="1270"/>
      <c r="K49" s="1270"/>
      <c r="L49" s="1273"/>
      <c r="M49" s="1242"/>
      <c r="N49" s="1242"/>
      <c r="O49" s="1242"/>
      <c r="P49" s="1424"/>
      <c r="Q49" s="1425"/>
      <c r="R49" s="294"/>
      <c r="S49" s="972"/>
      <c r="T49" s="1426"/>
      <c r="U49" s="1311"/>
      <c r="V49" s="2292"/>
      <c r="W49" s="2292"/>
      <c r="X49" s="2292"/>
      <c r="Y49" s="2292"/>
      <c r="Z49" s="2292"/>
      <c r="AA49" s="2292"/>
      <c r="AB49" s="2292"/>
      <c r="AC49" s="2293"/>
      <c r="AD49" s="2291"/>
      <c r="AE49" s="2292"/>
      <c r="AF49" s="2292"/>
      <c r="AG49" s="2292"/>
      <c r="AH49" s="2292"/>
      <c r="AI49" s="2292"/>
      <c r="AJ49" s="2292"/>
      <c r="AK49" s="2292"/>
      <c r="AL49" s="2292"/>
      <c r="AM49" s="2292"/>
      <c r="AN49" s="2292"/>
      <c r="AO49" s="2292"/>
      <c r="AP49" s="2292"/>
      <c r="AQ49" s="2292"/>
      <c r="AR49" s="2292"/>
      <c r="AS49" s="2292"/>
      <c r="AT49" s="2292"/>
      <c r="AU49" s="2292"/>
      <c r="AV49" s="2292"/>
      <c r="AW49" s="2292"/>
      <c r="AX49" s="2292"/>
      <c r="AY49" s="2292"/>
      <c r="AZ49" s="2292"/>
      <c r="BA49" s="2292"/>
      <c r="BB49" s="2293"/>
      <c r="BC49" s="1312" t="s">
        <v>408</v>
      </c>
      <c r="BE49" s="437"/>
      <c r="BF49" s="437" t="str">
        <f t="shared" si="3"/>
        <v/>
      </c>
      <c r="BG49" s="437"/>
      <c r="BH49" s="437"/>
      <c r="BI49" s="448">
        <v>0</v>
      </c>
    </row>
    <row r="50" spans="1:61" s="1569" customFormat="1" ht="0" hidden="1" customHeight="1">
      <c r="A50" s="1270" t="s">
        <v>267</v>
      </c>
      <c r="B50" s="1270" t="s">
        <v>268</v>
      </c>
      <c r="C50" s="1270" t="s">
        <v>269</v>
      </c>
      <c r="D50" s="1270" t="s">
        <v>557</v>
      </c>
      <c r="E50" s="2252"/>
      <c r="F50" s="2252"/>
      <c r="G50" s="2252"/>
      <c r="H50" s="2252"/>
      <c r="I50" s="2253" t="str">
        <f>S49&amp;".1"</f>
        <v>.1</v>
      </c>
      <c r="J50" s="1270"/>
      <c r="K50" s="1270"/>
      <c r="L50" s="1273" t="s">
        <v>409</v>
      </c>
      <c r="M50" s="447"/>
      <c r="N50" s="447"/>
      <c r="O50" s="447"/>
      <c r="P50" s="2255">
        <v>1</v>
      </c>
      <c r="Q50" s="1408"/>
      <c r="R50" s="293"/>
      <c r="S50" s="972"/>
      <c r="T50" s="1310"/>
      <c r="U50" s="1311"/>
      <c r="V50" s="2292"/>
      <c r="W50" s="2292"/>
      <c r="X50" s="2292"/>
      <c r="Y50" s="2292"/>
      <c r="Z50" s="2292"/>
      <c r="AA50" s="2292"/>
      <c r="AB50" s="2292"/>
      <c r="AC50" s="2293"/>
      <c r="AD50" s="2291"/>
      <c r="AE50" s="2292"/>
      <c r="AF50" s="2292"/>
      <c r="AG50" s="2292"/>
      <c r="AH50" s="2292"/>
      <c r="AI50" s="2292"/>
      <c r="AJ50" s="2292"/>
      <c r="AK50" s="2292"/>
      <c r="AL50" s="2292"/>
      <c r="AM50" s="2292"/>
      <c r="AN50" s="2292"/>
      <c r="AO50" s="2292"/>
      <c r="AP50" s="2292"/>
      <c r="AQ50" s="2292"/>
      <c r="AR50" s="2292"/>
      <c r="AS50" s="2292"/>
      <c r="AT50" s="2292"/>
      <c r="AU50" s="2292"/>
      <c r="AV50" s="2292"/>
      <c r="AW50" s="2292"/>
      <c r="AX50" s="2292"/>
      <c r="AY50" s="2292"/>
      <c r="AZ50" s="2292"/>
      <c r="BA50" s="2292"/>
      <c r="BB50" s="2293"/>
      <c r="BC50" s="1312"/>
      <c r="BE50" s="437"/>
      <c r="BF50" s="437" t="str">
        <f t="shared" si="3"/>
        <v/>
      </c>
      <c r="BG50" s="437"/>
      <c r="BH50" s="437"/>
      <c r="BI50" s="448">
        <v>0</v>
      </c>
    </row>
    <row r="51" spans="1:61" s="1569" customFormat="1" ht="0" hidden="1" customHeight="1">
      <c r="A51" s="1270" t="s">
        <v>267</v>
      </c>
      <c r="B51" s="1270" t="s">
        <v>268</v>
      </c>
      <c r="C51" s="1270" t="s">
        <v>269</v>
      </c>
      <c r="D51" s="1270" t="s">
        <v>557</v>
      </c>
      <c r="E51" s="2252"/>
      <c r="F51" s="2252"/>
      <c r="G51" s="2252"/>
      <c r="H51" s="2252"/>
      <c r="I51" s="2254"/>
      <c r="J51" s="2253" t="str">
        <f>S49&amp;".1"</f>
        <v>.1</v>
      </c>
      <c r="K51" s="1270"/>
      <c r="L51" s="1273"/>
      <c r="M51" s="447"/>
      <c r="N51" s="447"/>
      <c r="O51" s="447"/>
      <c r="P51" s="2255"/>
      <c r="Q51" s="2255">
        <v>1</v>
      </c>
      <c r="R51" s="294"/>
      <c r="S51" s="972"/>
      <c r="T51" s="1326"/>
      <c r="U51" s="1311"/>
      <c r="V51" s="2292"/>
      <c r="W51" s="2292"/>
      <c r="X51" s="2292"/>
      <c r="Y51" s="2292"/>
      <c r="Z51" s="2292"/>
      <c r="AA51" s="2292"/>
      <c r="AB51" s="2292"/>
      <c r="AC51" s="2293"/>
      <c r="AD51" s="2291"/>
      <c r="AE51" s="2292"/>
      <c r="AF51" s="2292"/>
      <c r="AG51" s="2292"/>
      <c r="AH51" s="2292"/>
      <c r="AI51" s="2292"/>
      <c r="AJ51" s="2292"/>
      <c r="AK51" s="2292"/>
      <c r="AL51" s="2292"/>
      <c r="AM51" s="2292"/>
      <c r="AN51" s="2345"/>
      <c r="AO51" s="2345"/>
      <c r="AP51" s="2292"/>
      <c r="AQ51" s="2292"/>
      <c r="AR51" s="2292"/>
      <c r="AS51" s="2292"/>
      <c r="AT51" s="2292"/>
      <c r="AU51" s="2292"/>
      <c r="AV51" s="2292"/>
      <c r="AW51" s="2292"/>
      <c r="AX51" s="2292"/>
      <c r="AY51" s="2292"/>
      <c r="AZ51" s="2292"/>
      <c r="BA51" s="2292"/>
      <c r="BB51" s="2293"/>
      <c r="BC51" s="1312"/>
      <c r="BE51" s="437"/>
      <c r="BF51" s="437" t="str">
        <f t="shared" si="3"/>
        <v/>
      </c>
      <c r="BG51" s="437"/>
      <c r="BH51" s="437"/>
      <c r="BI51" s="448">
        <v>0</v>
      </c>
    </row>
    <row r="52" spans="1:61" ht="11.45" customHeight="1">
      <c r="A52" s="1290" t="s">
        <v>267</v>
      </c>
      <c r="B52" s="1290" t="s">
        <v>268</v>
      </c>
      <c r="C52" s="1290" t="s">
        <v>269</v>
      </c>
      <c r="D52" s="1290" t="s">
        <v>557</v>
      </c>
      <c r="E52" s="2252"/>
      <c r="F52" s="2252"/>
      <c r="G52" s="2252"/>
      <c r="H52" s="2252"/>
      <c r="I52" s="2254"/>
      <c r="J52" s="2254"/>
      <c r="K52" s="2253" t="str">
        <f>S48&amp;".1"</f>
        <v>...1</v>
      </c>
      <c r="L52" s="1291"/>
      <c r="P52" s="2255"/>
      <c r="Q52" s="2255"/>
      <c r="R52" s="294">
        <v>1</v>
      </c>
      <c r="S52" s="2317" t="str">
        <f>$K52</f>
        <v>...1</v>
      </c>
      <c r="T52" s="2339"/>
      <c r="U52" s="238"/>
      <c r="V52" s="688"/>
      <c r="W52" s="1184"/>
      <c r="X52" s="688"/>
      <c r="Y52" s="1184"/>
      <c r="Z52" s="1660"/>
      <c r="AA52" s="1396" t="s">
        <v>66</v>
      </c>
      <c r="AB52" s="1660"/>
      <c r="AC52" s="1396" t="s">
        <v>66</v>
      </c>
      <c r="AD52" s="2176" t="s">
        <v>66</v>
      </c>
      <c r="AE52" s="2313"/>
      <c r="AF52" s="2208">
        <v>1</v>
      </c>
      <c r="AG52" s="2338"/>
      <c r="AH52" s="2126" t="s">
        <v>66</v>
      </c>
      <c r="AI52" s="2313"/>
      <c r="AJ52" s="2208">
        <v>1</v>
      </c>
      <c r="AK52" s="2327" t="s">
        <v>28</v>
      </c>
      <c r="AL52" s="2126" t="s">
        <v>66</v>
      </c>
      <c r="AM52" s="2185"/>
      <c r="AN52" s="2208">
        <v>1</v>
      </c>
      <c r="AO52" s="2342"/>
      <c r="AP52" s="2343" t="s">
        <v>66</v>
      </c>
      <c r="AQ52" s="249"/>
      <c r="AR52" s="1413">
        <v>1</v>
      </c>
      <c r="AS52" s="1419" t="s">
        <v>28</v>
      </c>
      <c r="AT52" s="688"/>
      <c r="AU52" s="1184"/>
      <c r="AV52" s="688"/>
      <c r="AW52" s="1184"/>
      <c r="AX52" s="1660"/>
      <c r="AY52" s="1396" t="s">
        <v>66</v>
      </c>
      <c r="AZ52" s="1660"/>
      <c r="BA52" s="1396" t="s">
        <v>66</v>
      </c>
      <c r="BB52" s="1275"/>
      <c r="BC52" s="2274" t="s">
        <v>514</v>
      </c>
      <c r="BE52" s="437"/>
      <c r="BF52" s="437" t="str">
        <f t="shared" si="3"/>
        <v/>
      </c>
      <c r="BG52" s="437"/>
      <c r="BH52" s="437"/>
      <c r="BI52" s="1082">
        <v>11</v>
      </c>
    </row>
    <row r="53" spans="1:61" ht="11.45" customHeight="1">
      <c r="A53" s="1290"/>
      <c r="B53" s="1290"/>
      <c r="C53" s="1290"/>
      <c r="D53" s="1290"/>
      <c r="E53" s="2252"/>
      <c r="F53" s="2252"/>
      <c r="G53" s="2252"/>
      <c r="H53" s="2252"/>
      <c r="I53" s="2254"/>
      <c r="J53" s="2254"/>
      <c r="K53" s="2253"/>
      <c r="L53" s="1291"/>
      <c r="P53" s="2255"/>
      <c r="Q53" s="2255"/>
      <c r="R53" s="294"/>
      <c r="S53" s="2318"/>
      <c r="T53" s="2340"/>
      <c r="U53" s="238"/>
      <c r="V53" s="1320"/>
      <c r="W53" s="1423"/>
      <c r="X53" s="1320"/>
      <c r="Y53" s="1423"/>
      <c r="Z53" s="1320"/>
      <c r="AA53" s="1320"/>
      <c r="AB53" s="1320"/>
      <c r="AC53" s="1320"/>
      <c r="AD53" s="2177"/>
      <c r="AE53" s="2313"/>
      <c r="AF53" s="2208"/>
      <c r="AG53" s="2338"/>
      <c r="AH53" s="2126"/>
      <c r="AI53" s="2313"/>
      <c r="AJ53" s="2208"/>
      <c r="AK53" s="2327"/>
      <c r="AL53" s="2126"/>
      <c r="AM53" s="2190"/>
      <c r="AN53" s="2208"/>
      <c r="AO53" s="2342"/>
      <c r="AP53" s="2344"/>
      <c r="AQ53" s="254"/>
      <c r="AR53" s="353"/>
      <c r="AS53" s="353" t="s">
        <v>515</v>
      </c>
      <c r="AT53" s="1320"/>
      <c r="AU53" s="1423"/>
      <c r="AV53" s="1320"/>
      <c r="AW53" s="1423"/>
      <c r="AX53" s="1320"/>
      <c r="AY53" s="1320"/>
      <c r="AZ53" s="1320"/>
      <c r="BA53" s="1320"/>
      <c r="BB53" s="1324"/>
      <c r="BC53" s="2275"/>
      <c r="BE53" s="437"/>
      <c r="BF53" s="437"/>
      <c r="BG53" s="437"/>
      <c r="BH53" s="437"/>
      <c r="BI53" s="1082">
        <v>11</v>
      </c>
    </row>
    <row r="54" spans="1:61" ht="11.45" customHeight="1">
      <c r="A54" s="1290" t="s">
        <v>267</v>
      </c>
      <c r="B54" s="1290"/>
      <c r="C54" s="1290"/>
      <c r="D54" s="1290"/>
      <c r="E54" s="2252"/>
      <c r="F54" s="2252"/>
      <c r="G54" s="2252"/>
      <c r="H54" s="2252"/>
      <c r="I54" s="2254"/>
      <c r="J54" s="2254"/>
      <c r="K54" s="2253"/>
      <c r="L54" s="1291"/>
      <c r="P54" s="2255"/>
      <c r="Q54" s="2255"/>
      <c r="R54" s="294"/>
      <c r="S54" s="2318"/>
      <c r="T54" s="2340"/>
      <c r="U54" s="238"/>
      <c r="V54" s="1320"/>
      <c r="W54" s="1423"/>
      <c r="X54" s="1320"/>
      <c r="Y54" s="1423"/>
      <c r="Z54" s="1320"/>
      <c r="AA54" s="1320"/>
      <c r="AB54" s="1320"/>
      <c r="AC54" s="1320"/>
      <c r="AD54" s="2177"/>
      <c r="AE54" s="2313"/>
      <c r="AF54" s="2208"/>
      <c r="AG54" s="2338"/>
      <c r="AH54" s="2126"/>
      <c r="AI54" s="2313"/>
      <c r="AJ54" s="2208"/>
      <c r="AK54" s="2327"/>
      <c r="AL54" s="2126"/>
      <c r="AM54" s="254"/>
      <c r="AN54" s="1427"/>
      <c r="AO54" s="1427" t="s">
        <v>516</v>
      </c>
      <c r="AP54" s="353"/>
      <c r="AQ54" s="353"/>
      <c r="AR54" s="353"/>
      <c r="AS54" s="1320"/>
      <c r="AT54" s="1320"/>
      <c r="AU54" s="1423"/>
      <c r="AV54" s="1320"/>
      <c r="AW54" s="1423"/>
      <c r="AX54" s="1320"/>
      <c r="AY54" s="1320"/>
      <c r="AZ54" s="1320"/>
      <c r="BA54" s="1320"/>
      <c r="BB54" s="1324"/>
      <c r="BC54" s="2275"/>
      <c r="BE54" s="437"/>
      <c r="BF54" s="437"/>
      <c r="BG54" s="437"/>
      <c r="BH54" s="437"/>
      <c r="BI54" s="1082">
        <v>11</v>
      </c>
    </row>
    <row r="55" spans="1:61" ht="11.45" customHeight="1">
      <c r="A55" s="1290" t="s">
        <v>267</v>
      </c>
      <c r="B55" s="1290"/>
      <c r="C55" s="1290"/>
      <c r="D55" s="1290"/>
      <c r="E55" s="2252"/>
      <c r="F55" s="2252"/>
      <c r="G55" s="2252"/>
      <c r="H55" s="2252"/>
      <c r="I55" s="2254"/>
      <c r="J55" s="2254"/>
      <c r="K55" s="2253"/>
      <c r="L55" s="1291"/>
      <c r="P55" s="2255"/>
      <c r="Q55" s="2255"/>
      <c r="R55" s="294"/>
      <c r="S55" s="2318"/>
      <c r="T55" s="2340"/>
      <c r="U55" s="238"/>
      <c r="V55" s="1320"/>
      <c r="W55" s="1423"/>
      <c r="X55" s="1320"/>
      <c r="Y55" s="1423"/>
      <c r="Z55" s="1320"/>
      <c r="AA55" s="1320"/>
      <c r="AB55" s="1320"/>
      <c r="AC55" s="1320"/>
      <c r="AD55" s="2177"/>
      <c r="AE55" s="2313"/>
      <c r="AF55" s="2208"/>
      <c r="AG55" s="2338"/>
      <c r="AH55" s="2126"/>
      <c r="AI55" s="232"/>
      <c r="AJ55" s="352"/>
      <c r="AK55" s="251" t="s">
        <v>517</v>
      </c>
      <c r="AL55" s="1320"/>
      <c r="AM55" s="1320"/>
      <c r="AN55" s="1320"/>
      <c r="AO55" s="1320"/>
      <c r="AP55" s="1320"/>
      <c r="AQ55" s="1320"/>
      <c r="AR55" s="1320"/>
      <c r="AS55" s="1320"/>
      <c r="AT55" s="1320"/>
      <c r="AU55" s="1423"/>
      <c r="AV55" s="1320"/>
      <c r="AW55" s="1423"/>
      <c r="AX55" s="1320"/>
      <c r="AY55" s="1320"/>
      <c r="AZ55" s="1320"/>
      <c r="BA55" s="1320"/>
      <c r="BB55" s="1324"/>
      <c r="BC55" s="2275"/>
      <c r="BE55" s="437"/>
      <c r="BF55" s="437"/>
      <c r="BG55" s="437"/>
      <c r="BH55" s="437"/>
      <c r="BI55" s="1082">
        <v>11</v>
      </c>
    </row>
    <row r="56" spans="1:61" ht="11.45" customHeight="1">
      <c r="A56" s="1290" t="s">
        <v>267</v>
      </c>
      <c r="B56" s="1290" t="s">
        <v>268</v>
      </c>
      <c r="C56" s="1290" t="s">
        <v>269</v>
      </c>
      <c r="D56" s="1290" t="s">
        <v>557</v>
      </c>
      <c r="E56" s="2252"/>
      <c r="F56" s="2252"/>
      <c r="G56" s="2252"/>
      <c r="H56" s="2252"/>
      <c r="I56" s="2254"/>
      <c r="J56" s="2254"/>
      <c r="K56" s="2253"/>
      <c r="L56" s="1291"/>
      <c r="P56" s="2255"/>
      <c r="Q56" s="2255"/>
      <c r="R56" s="294"/>
      <c r="S56" s="2319"/>
      <c r="T56" s="2341"/>
      <c r="U56" s="238"/>
      <c r="V56" s="1320"/>
      <c r="W56" s="1321" t="str">
        <f>Z52&amp;"-"&amp;AB52</f>
        <v>-</v>
      </c>
      <c r="X56" s="1320"/>
      <c r="Y56" s="1321" t="str">
        <f>AB52&amp;"-"&amp;AD52</f>
        <v>-да</v>
      </c>
      <c r="Z56" s="1320"/>
      <c r="AA56" s="1320"/>
      <c r="AB56" s="1320"/>
      <c r="AC56" s="1320"/>
      <c r="AD56" s="2131"/>
      <c r="AE56" s="250"/>
      <c r="AF56" s="252"/>
      <c r="AG56" s="353" t="s">
        <v>518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75"/>
      <c r="BE56" s="437"/>
      <c r="BF56" s="437" t="str">
        <f t="shared" ref="BF56:BF63" si="4">IF(T56="","",T56)</f>
        <v/>
      </c>
      <c r="BG56" s="437"/>
      <c r="BH56" s="437"/>
      <c r="BI56" s="1082">
        <v>11</v>
      </c>
    </row>
    <row r="57" spans="1:61" ht="11.45" customHeight="1">
      <c r="A57" s="1290" t="s">
        <v>267</v>
      </c>
      <c r="B57" s="1290" t="s">
        <v>268</v>
      </c>
      <c r="C57" s="1290" t="s">
        <v>269</v>
      </c>
      <c r="D57" s="1290" t="s">
        <v>557</v>
      </c>
      <c r="E57" s="2252"/>
      <c r="F57" s="2252"/>
      <c r="G57" s="2252"/>
      <c r="H57" s="2252"/>
      <c r="I57" s="2254"/>
      <c r="J57" s="2253"/>
      <c r="K57" s="1290"/>
      <c r="L57" s="1291"/>
      <c r="P57" s="2255"/>
      <c r="Q57" s="2255"/>
      <c r="R57" s="293"/>
      <c r="S57" s="1205"/>
      <c r="T57" s="225" t="s">
        <v>473</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76"/>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557</v>
      </c>
      <c r="E58" s="2252"/>
      <c r="F58" s="2252"/>
      <c r="G58" s="2252"/>
      <c r="H58" s="2252"/>
      <c r="I58" s="2253"/>
      <c r="J58" s="1270"/>
      <c r="K58" s="1270"/>
      <c r="L58" s="1273"/>
      <c r="M58" s="447"/>
      <c r="N58" s="447"/>
      <c r="O58" s="447"/>
      <c r="P58" s="225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557</v>
      </c>
      <c r="E59" s="2252"/>
      <c r="F59" s="2252"/>
      <c r="G59" s="2252"/>
      <c r="H59" s="225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52"/>
      <c r="F60" s="2252"/>
      <c r="G60" s="225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52"/>
      <c r="F61" s="2251"/>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51"/>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01"/>
      <c r="C2" s="1094" t="s">
        <v>558</v>
      </c>
      <c r="D2" s="1565"/>
      <c r="E2" s="483">
        <f>B2</f>
        <v>0</v>
      </c>
      <c r="F2" s="484"/>
      <c r="G2" s="1573" t="s">
        <v>559</v>
      </c>
      <c r="H2" s="1573" t="s">
        <v>559</v>
      </c>
      <c r="I2" s="1573" t="s">
        <v>559</v>
      </c>
      <c r="J2" s="227" t="s">
        <v>560</v>
      </c>
      <c r="K2" s="480"/>
      <c r="AF2" s="1558">
        <v>0</v>
      </c>
    </row>
    <row r="3" spans="1:32" s="1569" customFormat="1" ht="0.75" hidden="1" customHeight="1">
      <c r="B3" s="2101"/>
      <c r="C3" s="1094"/>
      <c r="D3" s="485"/>
      <c r="E3" s="486"/>
      <c r="F3" s="487" t="s">
        <v>561</v>
      </c>
      <c r="G3" s="488"/>
      <c r="H3" s="488">
        <f>H4*H5+H7</f>
        <v>0</v>
      </c>
      <c r="I3" s="488">
        <f>I4*I5+I6</f>
        <v>0</v>
      </c>
      <c r="J3" s="489"/>
      <c r="AF3" s="1563">
        <v>0</v>
      </c>
    </row>
    <row r="4" spans="1:32" ht="23.25" hidden="1" customHeight="1">
      <c r="B4" s="2101"/>
      <c r="C4" s="1094"/>
      <c r="D4" s="1565"/>
      <c r="E4" s="483" t="str">
        <f>B2&amp;".1"</f>
        <v>.1</v>
      </c>
      <c r="F4" s="490" t="s">
        <v>562</v>
      </c>
      <c r="G4" s="491"/>
      <c r="H4" s="478"/>
      <c r="I4" s="478"/>
      <c r="J4" s="227" t="s">
        <v>563</v>
      </c>
      <c r="K4" s="480"/>
      <c r="AF4" s="1558">
        <v>0</v>
      </c>
    </row>
    <row r="5" spans="1:32" ht="18.75" hidden="1" customHeight="1">
      <c r="B5" s="2101"/>
      <c r="C5" s="1094"/>
      <c r="D5" s="1565"/>
      <c r="E5" s="483" t="str">
        <f>B2&amp;".2"</f>
        <v>.2</v>
      </c>
      <c r="F5" s="490" t="s">
        <v>564</v>
      </c>
      <c r="G5" s="1573" t="s">
        <v>565</v>
      </c>
      <c r="H5" s="478"/>
      <c r="I5" s="478"/>
      <c r="J5" s="227"/>
      <c r="K5" s="480"/>
      <c r="AF5" s="1558">
        <v>0</v>
      </c>
    </row>
    <row r="6" spans="1:32" ht="18.75" hidden="1" customHeight="1">
      <c r="B6" s="2101"/>
      <c r="C6" s="1094"/>
      <c r="D6" s="1565"/>
      <c r="E6" s="483" t="str">
        <f>B2&amp;".3"</f>
        <v>.3</v>
      </c>
      <c r="F6" s="490" t="s">
        <v>566</v>
      </c>
      <c r="G6" s="1573" t="s">
        <v>565</v>
      </c>
      <c r="H6" s="478"/>
      <c r="I6" s="478"/>
      <c r="J6" s="227"/>
      <c r="K6" s="480"/>
      <c r="AF6" s="1558">
        <v>0</v>
      </c>
    </row>
    <row r="7" spans="1:32" ht="18.75" hidden="1" customHeight="1">
      <c r="B7" s="2101"/>
      <c r="C7" s="1094"/>
      <c r="D7" s="1565"/>
      <c r="E7" s="483" t="str">
        <f>B2&amp;".4"</f>
        <v>.4</v>
      </c>
      <c r="F7" s="490" t="s">
        <v>567</v>
      </c>
      <c r="G7" s="1573" t="s">
        <v>559</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565</v>
      </c>
      <c r="H9" s="478"/>
      <c r="I9" s="478"/>
      <c r="J9" s="479" t="s">
        <v>568</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569</v>
      </c>
      <c r="H11" s="478"/>
      <c r="I11" s="478"/>
      <c r="J11" s="227" t="s">
        <v>570</v>
      </c>
      <c r="K11" s="480"/>
      <c r="AF11" s="1558">
        <v>0</v>
      </c>
    </row>
    <row r="12" spans="1:32" ht="11.25" hidden="1" customHeight="1">
      <c r="AF12" s="1558">
        <v>0</v>
      </c>
    </row>
    <row r="13" spans="1:32" ht="22.5" hidden="1" customHeight="1">
      <c r="D13" s="1565"/>
      <c r="E13" s="483"/>
      <c r="F13" s="477"/>
      <c r="G13" s="899" t="s">
        <v>571</v>
      </c>
      <c r="H13" s="482"/>
      <c r="I13" s="482"/>
      <c r="J13" s="682" t="s">
        <v>572</v>
      </c>
      <c r="K13" s="480"/>
      <c r="AF13" s="1558">
        <v>0</v>
      </c>
    </row>
    <row r="14" spans="1:32" ht="11.25" hidden="1" customHeight="1">
      <c r="AF14" s="1558">
        <v>0</v>
      </c>
    </row>
    <row r="15" spans="1:32" ht="22.5" hidden="1" customHeight="1">
      <c r="D15" s="1565"/>
      <c r="E15" s="483"/>
      <c r="F15" s="477"/>
      <c r="G15" s="1573" t="s">
        <v>573</v>
      </c>
      <c r="H15" s="482"/>
      <c r="I15" s="482"/>
      <c r="J15" s="227" t="s">
        <v>574</v>
      </c>
      <c r="K15" s="480"/>
      <c r="AF15" s="1558">
        <v>0</v>
      </c>
    </row>
    <row r="16" spans="1:32" ht="11.25" hidden="1" customHeight="1">
      <c r="AF16" s="1558">
        <v>0</v>
      </c>
    </row>
    <row r="17" spans="1:32" ht="22.5" hidden="1" customHeight="1">
      <c r="D17" s="1565"/>
      <c r="E17" s="483"/>
      <c r="F17" s="477"/>
      <c r="G17" s="1573" t="s">
        <v>575</v>
      </c>
      <c r="H17" s="482"/>
      <c r="I17" s="482"/>
      <c r="J17" s="227" t="s">
        <v>576</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3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2"/>
      <c r="G21" s="2232"/>
      <c r="H21" s="2232"/>
      <c r="I21" s="2232"/>
      <c r="J21" s="493"/>
      <c r="AF21" s="1558">
        <v>24</v>
      </c>
    </row>
    <row r="22" spans="1:32" ht="25.15" customHeight="1">
      <c r="E22" s="2204" t="str">
        <f>IF(org=0,"Не определено",org)</f>
        <v>ООО ПКФ "Энергетик-2001"</v>
      </c>
      <c r="F22" s="2204"/>
      <c r="G22" s="2204"/>
      <c r="H22" s="2204"/>
      <c r="I22" s="2204"/>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49" t="s">
        <v>106</v>
      </c>
      <c r="G25" s="2350"/>
      <c r="H25" s="1579" t="str">
        <f>IF(H24="","",INDEX(DIFFERENTIATION_UNMERGE_VD,MATCH(H24,DIFFERENTIATION_ID_DIFF,0)))</f>
        <v/>
      </c>
      <c r="I25" s="1579">
        <f>IF(I24="","",INDEX(DIFFERENTIATION_UNMERGE_VD,MATCH(I24,DIFFERENTIATION_ID_DIFF,0)))</f>
        <v>0</v>
      </c>
      <c r="J25" s="2116"/>
      <c r="AF25" s="1558">
        <v>11</v>
      </c>
    </row>
    <row r="26" spans="1:32" ht="11.45" customHeight="1">
      <c r="E26" s="648"/>
      <c r="F26" s="2349" t="s">
        <v>577</v>
      </c>
      <c r="G26" s="2350"/>
      <c r="H26" s="1579" t="str">
        <f>IF(H24="","",INDEX(DIFFERENTIATION_UNMERGE_AREA,MATCH(H24,DIFFERENTIATION_ID_DIFF,0)))</f>
        <v/>
      </c>
      <c r="I26" s="1579" t="str">
        <f>IF(I24="","",INDEX(DIFFERENTIATION_UNMERGE_AREA,MATCH(I24,DIFFERENTIATION_ID_DIFF,0)))</f>
        <v/>
      </c>
      <c r="J26" s="2116"/>
      <c r="AF26" s="1558">
        <v>11</v>
      </c>
    </row>
    <row r="27" spans="1:32" ht="11.45" customHeight="1">
      <c r="E27" s="648"/>
      <c r="F27" s="2349" t="s">
        <v>578</v>
      </c>
      <c r="G27" s="2350"/>
      <c r="H27" s="1579" t="str">
        <f>IF(H24="","",INDEX(DIFFERENTIATION_UNMERGE_SYSTEM,MATCH(H24,DIFFERENTIATION_ID_DIFF,0)))</f>
        <v/>
      </c>
      <c r="I27" s="1579" t="str">
        <f>IF(I24="","",INDEX(DIFFERENTIATION_UNMERGE_SYSTEM,MATCH(I24,DIFFERENTIATION_ID_DIFF,0)))</f>
        <v>без дифференциации</v>
      </c>
      <c r="J27" s="2116"/>
      <c r="AF27" s="1558">
        <v>11</v>
      </c>
    </row>
    <row r="28" spans="1:32" ht="11.45" customHeight="1">
      <c r="E28" s="2351" t="s">
        <v>306</v>
      </c>
      <c r="F28" s="2352"/>
      <c r="G28" s="2352"/>
      <c r="H28" s="1572"/>
      <c r="I28" s="1572"/>
      <c r="J28" s="2116"/>
      <c r="AF28" s="1558">
        <v>11</v>
      </c>
    </row>
    <row r="29" spans="1:32" ht="24" customHeight="1">
      <c r="E29" s="1573" t="s">
        <v>88</v>
      </c>
      <c r="F29" s="1580" t="s">
        <v>308</v>
      </c>
      <c r="G29" s="1580" t="s">
        <v>579</v>
      </c>
      <c r="H29" s="1580" t="s">
        <v>309</v>
      </c>
      <c r="I29" s="1580" t="s">
        <v>309</v>
      </c>
      <c r="J29" s="2116"/>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565</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565</v>
      </c>
      <c r="H31" s="495">
        <f>SUMIF($K33:$K71,$K31,H33:H71)</f>
        <v>0</v>
      </c>
      <c r="I31" s="495">
        <f>SUMIF($K33:$K71,$K31,I33:I71)</f>
        <v>0</v>
      </c>
      <c r="J31" s="227" t="str">
        <f>FHD_NOTE_P_2</f>
        <v>Указывается суммарная себестоимость производимых товаров.</v>
      </c>
      <c r="K31" s="1563" t="s">
        <v>580</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565</v>
      </c>
      <c r="H32" s="494"/>
      <c r="I32" s="494"/>
      <c r="J32" s="227" t="str">
        <f>FHD_NOTE_P_3</f>
        <v/>
      </c>
      <c r="K32" s="1563" t="str">
        <f t="shared" ref="K32:K70" si="0">IF((LEN(E32)-LEN(SUBSTITUTE(E32,".","")))/LEN(".")=1,"p","")</f>
        <v>p</v>
      </c>
      <c r="AF32" s="1558">
        <v>11</v>
      </c>
    </row>
    <row r="33" spans="1:32" ht="11.25" customHeight="1">
      <c r="A33" s="2347" t="s">
        <v>581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565</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47"/>
      <c r="B34" s="2348"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47"/>
      <c r="B35" s="234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47"/>
      <c r="B36" s="234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47"/>
      <c r="B37" s="234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47"/>
      <c r="B38" s="234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47"/>
      <c r="B39" s="234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47"/>
      <c r="C40" s="1563"/>
      <c r="D40" s="1560"/>
      <c r="E40" s="507"/>
      <c r="F40" s="508" t="s">
        <v>582</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47" t="s">
        <v>583</v>
      </c>
      <c r="D41" s="1565"/>
      <c r="E41" s="483" t="str">
        <f>FHD_NUM_P_5</f>
        <v/>
      </c>
      <c r="F41" s="1451" t="str">
        <f>FHD_P_5</f>
        <v/>
      </c>
      <c r="G41" s="1803" t="s">
        <v>565</v>
      </c>
      <c r="H41" s="494"/>
      <c r="I41" s="494"/>
      <c r="J41" s="227" t="str">
        <f>FHD_NOTE_P_5</f>
        <v/>
      </c>
      <c r="K41" s="1563" t="str">
        <f t="shared" si="0"/>
        <v/>
      </c>
      <c r="AF41" s="1558">
        <v>0</v>
      </c>
    </row>
    <row r="42" spans="1:32" ht="11.25" hidden="1" customHeight="1">
      <c r="A42" s="2347"/>
      <c r="D42" s="1565"/>
      <c r="E42" s="483" t="str">
        <f>FHD_NUM_P_6</f>
        <v/>
      </c>
      <c r="F42" s="1451" t="str">
        <f>FHD_P_6</f>
        <v/>
      </c>
      <c r="G42" s="1803" t="s">
        <v>565</v>
      </c>
      <c r="H42" s="494"/>
      <c r="I42" s="494"/>
      <c r="J42" s="227" t="str">
        <f>FHD_NOTE_P_6</f>
        <v/>
      </c>
      <c r="K42" s="1563" t="str">
        <f t="shared" si="0"/>
        <v/>
      </c>
      <c r="AF42" s="1558">
        <v>0</v>
      </c>
    </row>
    <row r="43" spans="1:32" ht="11.25" hidden="1" customHeight="1">
      <c r="A43" s="2347"/>
      <c r="D43" s="1565"/>
      <c r="E43" s="483" t="str">
        <f>FHD_NUM_P_7</f>
        <v/>
      </c>
      <c r="F43" s="1451" t="str">
        <f>FHD_P_7</f>
        <v/>
      </c>
      <c r="G43" s="1803" t="s">
        <v>565</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565</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584</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585</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586</v>
      </c>
      <c r="C47" s="1563"/>
      <c r="D47" s="512"/>
      <c r="E47" s="483" t="str">
        <f>FHD_NUM_P_11</f>
        <v>2.4</v>
      </c>
      <c r="F47" s="1451" t="str">
        <f>FHD_P_11</f>
        <v>Расходы на приобретение холодной воды, используемой в технологическом процессе</v>
      </c>
      <c r="G47" s="1803" t="s">
        <v>565</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587</v>
      </c>
      <c r="C48" s="1563"/>
      <c r="D48" s="1565"/>
      <c r="E48" s="483" t="str">
        <f>FHD_NUM_P_12</f>
        <v>2.5</v>
      </c>
      <c r="F48" s="1451" t="str">
        <f>FHD_P_12</f>
        <v>Расходы на  химические реагенты, используемые в технологическом процессе</v>
      </c>
      <c r="G48" s="1803" t="s">
        <v>565</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565</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565</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565</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565</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565</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565</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565</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565</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565</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565</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565</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565</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565</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565</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565</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565</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565</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588</v>
      </c>
      <c r="I66" s="1576" t="s">
        <v>588</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47" t="s">
        <v>589</v>
      </c>
      <c r="C67" s="1563"/>
      <c r="D67" s="1565"/>
      <c r="E67" s="483" t="str">
        <f>FHD_NUM_P_31</f>
        <v/>
      </c>
      <c r="F67" s="1451" t="str">
        <f>FHD_P_31</f>
        <v/>
      </c>
      <c r="G67" s="1803" t="s">
        <v>565</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47"/>
      <c r="C68" s="1563"/>
      <c r="D68" s="1565"/>
      <c r="E68" s="483" t="str">
        <f>FHD_NUM_P_32</f>
        <v/>
      </c>
      <c r="F68" s="1577" t="str">
        <f>FHD_P_32</f>
        <v/>
      </c>
      <c r="G68" s="1803" t="s">
        <v>312</v>
      </c>
      <c r="H68" s="1576" t="s">
        <v>588</v>
      </c>
      <c r="I68" s="1576" t="s">
        <v>588</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565</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590</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591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565</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565</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565</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565</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565</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565</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565</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565</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592</v>
      </c>
      <c r="C80" s="1563"/>
      <c r="D80" s="1565"/>
      <c r="E80" s="483" t="str">
        <f>FHD_NUM_P_42</f>
        <v/>
      </c>
      <c r="F80" s="1995" t="str">
        <f>FHD_P_42</f>
        <v/>
      </c>
      <c r="G80" s="1993" t="s">
        <v>565</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47" t="s">
        <v>593</v>
      </c>
      <c r="C82" s="672"/>
      <c r="D82" s="670"/>
      <c r="E82" s="483" t="str">
        <f>FHD_NUM_P_44</f>
        <v/>
      </c>
      <c r="F82" s="1805" t="str">
        <f>FHD_P_44</f>
        <v/>
      </c>
      <c r="G82" s="1806" t="s">
        <v>594</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47"/>
      <c r="C83" s="672"/>
      <c r="D83" s="670"/>
      <c r="E83" s="483" t="str">
        <f>FHD_NUM_P_45</f>
        <v/>
      </c>
      <c r="F83" s="1805" t="str">
        <f>FHD_P_45</f>
        <v/>
      </c>
      <c r="G83" s="1806" t="s">
        <v>594</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47"/>
      <c r="C84" s="672"/>
      <c r="D84" s="675"/>
      <c r="E84" s="483" t="str">
        <f>FHD_NUM_P_46</f>
        <v/>
      </c>
      <c r="F84" s="1805" t="str">
        <f>FHD_P_46</f>
        <v/>
      </c>
      <c r="G84" s="1806" t="s">
        <v>594</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47"/>
      <c r="C85" s="672"/>
      <c r="D85" s="670"/>
      <c r="E85" s="483" t="str">
        <f>FHD_NUM_P_47</f>
        <v/>
      </c>
      <c r="F85" s="1805" t="str">
        <f>FHD_P_47</f>
        <v/>
      </c>
      <c r="G85" s="1806" t="s">
        <v>594</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47"/>
      <c r="B86" s="840"/>
      <c r="C86" s="672"/>
      <c r="D86" s="670"/>
      <c r="E86" s="483" t="str">
        <f>FHD_NUM_P_48</f>
        <v/>
      </c>
      <c r="F86" s="1805" t="str">
        <f>FHD_P_48</f>
        <v/>
      </c>
      <c r="G86" s="1806" t="s">
        <v>594</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47"/>
      <c r="B87" s="840"/>
      <c r="C87" s="672"/>
      <c r="D87" s="670"/>
      <c r="E87" s="483" t="str">
        <f>FHD_NUM_P_49</f>
        <v/>
      </c>
      <c r="F87" s="1805" t="str">
        <f>FHD_P_49</f>
        <v/>
      </c>
      <c r="G87" s="1806" t="s">
        <v>594</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47"/>
      <c r="B88" s="840"/>
      <c r="C88" s="672"/>
      <c r="D88" s="670"/>
      <c r="E88" s="483" t="str">
        <f>FHD_NUM_P_50</f>
        <v/>
      </c>
      <c r="F88" s="1805" t="str">
        <f>FHD_P_50</f>
        <v/>
      </c>
      <c r="G88" s="1806" t="s">
        <v>594</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47"/>
      <c r="B89" s="840"/>
      <c r="C89" s="672"/>
      <c r="D89" s="670"/>
      <c r="E89" s="483" t="str">
        <f>FHD_NUM_P_51</f>
        <v/>
      </c>
      <c r="F89" s="1805" t="str">
        <f>FHD_P_51</f>
        <v/>
      </c>
      <c r="G89" s="1806" t="s">
        <v>594</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47"/>
      <c r="B90" s="840"/>
      <c r="C90" s="672"/>
      <c r="D90" s="670"/>
      <c r="E90" s="483" t="str">
        <f>FHD_NUM_P_52</f>
        <v/>
      </c>
      <c r="F90" s="1805" t="str">
        <f>FHD_P_52</f>
        <v/>
      </c>
      <c r="G90" s="1806" t="s">
        <v>571</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47" t="s">
        <v>595</v>
      </c>
      <c r="C91" s="672"/>
      <c r="D91" s="670"/>
      <c r="E91" s="483" t="str">
        <f>FHD_NUM_P_53</f>
        <v/>
      </c>
      <c r="F91" s="1805" t="str">
        <f>FHD_P_53</f>
        <v/>
      </c>
      <c r="G91" s="1806" t="s">
        <v>594</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47"/>
      <c r="C92" s="672"/>
      <c r="D92" s="670"/>
      <c r="E92" s="483" t="str">
        <f>FHD_NUM_P_54</f>
        <v/>
      </c>
      <c r="F92" s="1805" t="str">
        <f>FHD_P_54</f>
        <v/>
      </c>
      <c r="G92" s="1806" t="s">
        <v>594</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47"/>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47"/>
      <c r="C94" s="672"/>
      <c r="D94" s="670"/>
      <c r="E94" s="483" t="str">
        <f>FHD_NUM_P_56</f>
        <v/>
      </c>
      <c r="F94" s="1805" t="str">
        <f>FHD_P_56</f>
        <v/>
      </c>
      <c r="G94" s="1806" t="s">
        <v>596</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47"/>
      <c r="B95" s="840"/>
      <c r="C95" s="672"/>
      <c r="D95" s="670"/>
      <c r="E95" s="483" t="str">
        <f>FHD_NUM_P_57</f>
        <v/>
      </c>
      <c r="F95" s="1805" t="str">
        <f>FHD_P_57</f>
        <v/>
      </c>
      <c r="G95" s="1806" t="s">
        <v>571</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47" t="s">
        <v>597</v>
      </c>
      <c r="D96" s="1565"/>
      <c r="E96" s="483" t="str">
        <f>FHD_NUM_P_58</f>
        <v/>
      </c>
      <c r="F96" s="1805" t="str">
        <f>FHD_P_58</f>
        <v/>
      </c>
      <c r="G96" s="1806" t="s">
        <v>594</v>
      </c>
      <c r="H96" s="907"/>
      <c r="I96" s="514"/>
      <c r="J96" s="227" t="str">
        <f>FHD_NOTE_P_58</f>
        <v/>
      </c>
      <c r="K96" s="480"/>
      <c r="AF96" s="1558">
        <v>0</v>
      </c>
    </row>
    <row r="97" spans="1:32" ht="18.75" hidden="1" customHeight="1">
      <c r="A97" s="2347"/>
      <c r="D97" s="1565"/>
      <c r="E97" s="483" t="str">
        <f>FHD_NUM_P_59</f>
        <v/>
      </c>
      <c r="F97" s="1805" t="str">
        <f>FHD_P_59</f>
        <v/>
      </c>
      <c r="G97" s="1806" t="s">
        <v>594</v>
      </c>
      <c r="H97" s="907"/>
      <c r="I97" s="514"/>
      <c r="J97" s="227" t="str">
        <f>FHD_NOTE_P_59</f>
        <v/>
      </c>
      <c r="K97" s="480"/>
      <c r="AF97" s="1558">
        <v>0</v>
      </c>
    </row>
    <row r="98" spans="1:32" ht="18.75" hidden="1" customHeight="1">
      <c r="A98" s="2347"/>
      <c r="D98" s="1565"/>
      <c r="E98" s="483" t="str">
        <f>FHD_NUM_P_60</f>
        <v/>
      </c>
      <c r="F98" s="1805" t="str">
        <f>FHD_P_60</f>
        <v/>
      </c>
      <c r="G98" s="1806" t="s">
        <v>594</v>
      </c>
      <c r="H98" s="907"/>
      <c r="I98" s="514"/>
      <c r="J98" s="227" t="str">
        <f>FHD_NOTE_P_60</f>
        <v/>
      </c>
      <c r="K98" s="480"/>
      <c r="AF98" s="1558">
        <v>0</v>
      </c>
    </row>
    <row r="99" spans="1:32" s="1293" customFormat="1" ht="18.75" customHeight="1">
      <c r="A99" s="2347" t="s">
        <v>598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569</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47"/>
      <c r="D100" s="485"/>
      <c r="E100" s="943" t="str">
        <f>E99&amp;".0"</f>
        <v>7.0</v>
      </c>
      <c r="F100" s="924"/>
      <c r="G100" s="925"/>
      <c r="H100" s="922"/>
      <c r="I100" s="922"/>
      <c r="J100" s="926"/>
      <c r="AF100" s="1563">
        <v>0</v>
      </c>
    </row>
    <row r="101" spans="1:32" ht="15" customHeight="1">
      <c r="A101" s="2347"/>
      <c r="D101" s="1560"/>
      <c r="E101" s="901"/>
      <c r="F101" s="902" t="s">
        <v>599</v>
      </c>
      <c r="G101" s="509"/>
      <c r="H101" s="510"/>
      <c r="I101" s="510"/>
      <c r="J101" s="934" t="s">
        <v>600</v>
      </c>
      <c r="K101" s="480"/>
      <c r="AF101" s="1558">
        <v>0</v>
      </c>
    </row>
    <row r="102" spans="1:32" s="1293" customFormat="1" ht="18.75" customHeight="1">
      <c r="A102" s="2347"/>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569</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47"/>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596</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47"/>
      <c r="C104" s="1563" t="s">
        <v>601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596</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47"/>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596</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47"/>
      <c r="C106" s="1563"/>
      <c r="D106" s="1565"/>
      <c r="E106" s="483" t="str">
        <f>FHD_NUM_P_66</f>
        <v>10.1</v>
      </c>
      <c r="F106" s="1451" t="str">
        <f>FHD_P_66</f>
        <v xml:space="preserve">По приборам учёта </v>
      </c>
      <c r="G106" s="1802" t="s">
        <v>596</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47"/>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596</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47"/>
      <c r="C108" s="1563"/>
      <c r="D108" s="1565"/>
      <c r="E108" s="483" t="str">
        <f>FHD_NUM_P_68</f>
        <v>10.2</v>
      </c>
      <c r="F108" s="1451" t="str">
        <f>FHD_P_68</f>
        <v>Расчётным путём</v>
      </c>
      <c r="G108" s="1802" t="s">
        <v>596</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47"/>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596</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47"/>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602</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47"/>
      <c r="C111" s="1563"/>
      <c r="D111" s="1565"/>
      <c r="E111" s="483" t="str">
        <f>FHD_NUM_P_71</f>
        <v>12</v>
      </c>
      <c r="F111" s="1805" t="str">
        <f>FHD_P_71</f>
        <v>Фактический объем потерь при передаче тепловой энергии</v>
      </c>
      <c r="G111" s="1802" t="s">
        <v>602</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603</v>
      </c>
      <c r="H112" s="514"/>
      <c r="I112" s="514"/>
      <c r="J112" s="227" t="str">
        <f>FHD_NOTE_P_72</f>
        <v/>
      </c>
      <c r="K112" s="480"/>
      <c r="AF112" s="1558">
        <v>19</v>
      </c>
    </row>
    <row r="113" spans="1:32" ht="18.75" customHeight="1">
      <c r="A113" s="919" t="s">
        <v>604</v>
      </c>
      <c r="D113" s="1565"/>
      <c r="E113" s="483" t="str">
        <f>FHD_NUM_P_73</f>
        <v>14</v>
      </c>
      <c r="F113" s="1805" t="str">
        <f>FHD_P_73</f>
        <v>Среднесписочная численность административно-управленческого персонала</v>
      </c>
      <c r="G113" s="900" t="s">
        <v>603</v>
      </c>
      <c r="H113" s="898"/>
      <c r="I113" s="898"/>
      <c r="J113" s="227" t="str">
        <f>FHD_NOTE_P_73</f>
        <v/>
      </c>
      <c r="K113" s="480"/>
      <c r="AF113" s="1558">
        <v>0</v>
      </c>
    </row>
    <row r="114" spans="1:32" ht="33.75" hidden="1" customHeight="1">
      <c r="A114" s="919" t="s">
        <v>605</v>
      </c>
      <c r="D114" s="1565"/>
      <c r="E114" s="483" t="str">
        <f>FHD_NUM_P_74</f>
        <v/>
      </c>
      <c r="F114" s="1805" t="str">
        <f>FHD_P_74</f>
        <v/>
      </c>
      <c r="G114" s="1801" t="s">
        <v>606</v>
      </c>
      <c r="H114" s="514"/>
      <c r="I114" s="514"/>
      <c r="J114" s="227" t="str">
        <f>FHD_NOTE_P_74</f>
        <v/>
      </c>
      <c r="K114" s="480"/>
      <c r="AF114" s="1558">
        <v>0</v>
      </c>
    </row>
    <row r="115" spans="1:32" s="1562" customFormat="1" ht="18.75" hidden="1" customHeight="1">
      <c r="A115" s="2347" t="s">
        <v>607</v>
      </c>
      <c r="B115" s="840"/>
      <c r="C115" s="672"/>
      <c r="D115" s="670"/>
      <c r="E115" s="483" t="str">
        <f>FHD_NUM_P_75</f>
        <v/>
      </c>
      <c r="F115" s="1805" t="str">
        <f>FHD_P_75</f>
        <v/>
      </c>
      <c r="G115" s="1801" t="s">
        <v>571</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47"/>
      <c r="B116" s="840"/>
      <c r="C116" s="672"/>
      <c r="D116" s="670"/>
      <c r="E116" s="483" t="str">
        <f>FHD_NUM_P_76</f>
        <v/>
      </c>
      <c r="F116" s="1805" t="str">
        <f>FHD_P_76</f>
        <v/>
      </c>
      <c r="G116" s="1801" t="s">
        <v>571</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47"/>
      <c r="B117" s="840"/>
      <c r="C117" s="672"/>
      <c r="D117" s="670"/>
      <c r="E117" s="483" t="str">
        <f>FHD_NUM_P_77</f>
        <v/>
      </c>
      <c r="F117" s="1805" t="str">
        <f>FHD_P_77</f>
        <v/>
      </c>
      <c r="G117" s="1801" t="s">
        <v>571</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47"/>
      <c r="D118" s="485"/>
      <c r="E118" s="943" t="str">
        <f>E117&amp;".0"</f>
        <v>.0</v>
      </c>
      <c r="F118" s="927"/>
      <c r="G118" s="1578"/>
      <c r="H118" s="922"/>
      <c r="I118" s="922"/>
      <c r="J118" s="926"/>
      <c r="AF118" s="1563">
        <v>0</v>
      </c>
    </row>
    <row r="119" spans="1:32" s="1562" customFormat="1" ht="15" hidden="1" customHeight="1">
      <c r="A119" s="2347"/>
      <c r="B119" s="840"/>
      <c r="C119" s="672"/>
      <c r="D119" s="683"/>
      <c r="E119" s="903"/>
      <c r="F119" s="904" t="s">
        <v>608</v>
      </c>
      <c r="G119" s="684"/>
      <c r="H119" s="685"/>
      <c r="I119" s="685"/>
      <c r="J119" s="933" t="s">
        <v>609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47" t="s">
        <v>610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573</v>
      </c>
      <c r="H120" s="514"/>
      <c r="I120" s="514"/>
      <c r="J120" s="227" t="str">
        <f>FHD_NOTE_P_78</f>
        <v/>
      </c>
      <c r="K120" s="480"/>
      <c r="AF120" s="1558">
        <v>0</v>
      </c>
    </row>
    <row r="121" spans="1:32" s="1569" customFormat="1" ht="0.75" customHeight="1">
      <c r="A121" s="2347"/>
      <c r="D121" s="485"/>
      <c r="E121" s="943" t="str">
        <f>E120&amp;".0"</f>
        <v>15.0</v>
      </c>
      <c r="F121" s="927"/>
      <c r="G121" s="1578"/>
      <c r="H121" s="922"/>
      <c r="I121" s="922"/>
      <c r="J121" s="926"/>
      <c r="AF121" s="1563">
        <v>0</v>
      </c>
    </row>
    <row r="122" spans="1:32" ht="15" customHeight="1">
      <c r="A122" s="2347"/>
      <c r="D122" s="1560"/>
      <c r="E122" s="507"/>
      <c r="F122" s="1095" t="s">
        <v>599</v>
      </c>
      <c r="G122" s="509"/>
      <c r="H122" s="510"/>
      <c r="I122" s="510"/>
      <c r="J122" s="934" t="s">
        <v>611</v>
      </c>
      <c r="K122" s="480"/>
      <c r="AF122" s="1558">
        <v>0</v>
      </c>
    </row>
    <row r="123" spans="1:32" ht="22.5" customHeight="1">
      <c r="A123" s="2347"/>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575</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47"/>
      <c r="D124" s="485"/>
      <c r="E124" s="943" t="str">
        <f>E123&amp;".0"</f>
        <v>16.0</v>
      </c>
      <c r="F124" s="928"/>
      <c r="G124" s="1578"/>
      <c r="H124" s="922"/>
      <c r="I124" s="922"/>
      <c r="J124" s="926"/>
      <c r="AF124" s="1563">
        <v>0</v>
      </c>
    </row>
    <row r="125" spans="1:32" ht="15" customHeight="1">
      <c r="A125" s="2347"/>
      <c r="D125" s="1560"/>
      <c r="E125" s="507"/>
      <c r="F125" s="1095" t="s">
        <v>599</v>
      </c>
      <c r="G125" s="509"/>
      <c r="H125" s="510"/>
      <c r="I125" s="510"/>
      <c r="J125" s="934" t="s">
        <v>612</v>
      </c>
      <c r="K125" s="480"/>
      <c r="AF125" s="1558">
        <v>0</v>
      </c>
    </row>
    <row r="126" spans="1:32" ht="22.5" customHeight="1">
      <c r="A126" s="2347"/>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613</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47"/>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614</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47"/>
      <c r="C128" s="1563" t="s">
        <v>601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47"/>
      <c r="C129" s="1563" t="s">
        <v>601</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47"/>
      <c r="C130" s="1563" t="s">
        <v>601</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32" t="str">
        <f>FHD20_NAME_FORM</f>
        <v>Форма 11. Информация о расходах на капитальный и текущий ремонт основных средств</v>
      </c>
      <c r="F5" s="2232"/>
      <c r="G5" s="2232"/>
      <c r="H5" s="2232"/>
      <c r="I5" s="2232"/>
      <c r="J5" s="2232"/>
      <c r="K5" s="2232"/>
      <c r="L5" s="550"/>
      <c r="M5" s="550"/>
      <c r="CF5" s="442">
        <v>28</v>
      </c>
    </row>
    <row r="6" spans="1:84" s="1562" customFormat="1" ht="16.899999999999999" customHeight="1">
      <c r="A6" s="547"/>
      <c r="B6" s="694"/>
      <c r="C6" s="446"/>
      <c r="D6" s="988"/>
      <c r="E6" s="2204" t="str">
        <f>IF(org=0,"Не определено",org)</f>
        <v>ООО ПКФ "Энергетик-2001"</v>
      </c>
      <c r="F6" s="2204"/>
      <c r="G6" s="2204"/>
      <c r="H6" s="2204"/>
      <c r="I6" s="2204"/>
      <c r="J6" s="2204"/>
      <c r="K6" s="220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98" t="s">
        <v>306</v>
      </c>
      <c r="F9" s="2103"/>
      <c r="G9" s="2103"/>
      <c r="H9" s="2103"/>
      <c r="I9" s="2103"/>
      <c r="J9" s="2103"/>
      <c r="K9" s="2103"/>
      <c r="L9" s="2103"/>
      <c r="M9" s="2103"/>
      <c r="N9" s="2103"/>
      <c r="O9" s="2103"/>
      <c r="P9" s="2103"/>
      <c r="Q9" s="2103"/>
      <c r="R9" s="2097"/>
      <c r="S9" s="2116" t="s">
        <v>307</v>
      </c>
      <c r="T9" s="272"/>
      <c r="CF9" s="442">
        <v>19</v>
      </c>
    </row>
    <row r="10" spans="1:84" ht="48.2" customHeight="1">
      <c r="D10" s="488" t="s">
        <v>88</v>
      </c>
      <c r="E10" s="2116" t="s">
        <v>88</v>
      </c>
      <c r="F10" s="2116"/>
      <c r="G10" s="458" t="s">
        <v>308</v>
      </c>
      <c r="H10" s="2116" t="s">
        <v>88</v>
      </c>
      <c r="I10" s="2116"/>
      <c r="J10" s="458" t="s">
        <v>615</v>
      </c>
      <c r="K10" s="458" t="s">
        <v>616</v>
      </c>
      <c r="L10" s="2116" t="s">
        <v>88</v>
      </c>
      <c r="M10" s="2116"/>
      <c r="N10" s="458" t="s">
        <v>617</v>
      </c>
      <c r="O10" s="458" t="s">
        <v>618</v>
      </c>
      <c r="P10" s="458" t="s">
        <v>619</v>
      </c>
      <c r="Q10" s="458" t="s">
        <v>620</v>
      </c>
      <c r="R10" s="458" t="s">
        <v>621</v>
      </c>
      <c r="S10" s="2116"/>
      <c r="T10" s="272"/>
      <c r="CF10" s="442">
        <v>46</v>
      </c>
    </row>
    <row r="11" spans="1:84" s="1569" customFormat="1" ht="15" hidden="1" customHeight="1">
      <c r="A11" s="982"/>
      <c r="D11" s="955" t="s">
        <v>110</v>
      </c>
      <c r="E11" s="955"/>
      <c r="F11" s="955" t="s">
        <v>111</v>
      </c>
      <c r="G11" s="955" t="s">
        <v>90</v>
      </c>
      <c r="H11" s="955"/>
      <c r="I11" s="955" t="s">
        <v>91</v>
      </c>
      <c r="J11" s="955" t="s">
        <v>112</v>
      </c>
      <c r="K11" s="955" t="s">
        <v>92</v>
      </c>
      <c r="L11" s="955"/>
      <c r="M11" s="955" t="s">
        <v>93</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53" t="s">
        <v>110</v>
      </c>
      <c r="E14" s="2360" t="s">
        <v>106</v>
      </c>
      <c r="F14" s="2361"/>
      <c r="G14" s="2362"/>
      <c r="H14" s="2356">
        <f>IF(A14="","",INDEX(DIFFERENTIATION_UNMERGE_VD,MATCH(A14,DIFFERENTIATION_ID_DIFF,0)))</f>
        <v>0</v>
      </c>
      <c r="I14" s="2356"/>
      <c r="J14" s="2356"/>
      <c r="K14" s="2356"/>
      <c r="L14" s="2356"/>
      <c r="M14" s="2356"/>
      <c r="N14" s="2356"/>
      <c r="O14" s="2356"/>
      <c r="P14" s="2356"/>
      <c r="Q14" s="2356"/>
      <c r="R14" s="2356"/>
      <c r="S14" s="656"/>
      <c r="T14" s="653"/>
      <c r="U14" s="562"/>
      <c r="V14" s="562"/>
      <c r="W14" s="563"/>
      <c r="X14" s="563"/>
      <c r="Y14" s="563"/>
      <c r="Z14" s="563"/>
      <c r="AA14" s="564"/>
      <c r="AB14" s="565"/>
      <c r="AC14" s="2359"/>
      <c r="AD14" s="566"/>
      <c r="AE14" s="567" t="s">
        <v>28</v>
      </c>
      <c r="AF14" s="567"/>
      <c r="AG14" s="568" t="s">
        <v>622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54"/>
      <c r="E15" s="2360" t="s">
        <v>577</v>
      </c>
      <c r="F15" s="2361"/>
      <c r="G15" s="2362"/>
      <c r="H15" s="2356" t="str">
        <f>IF(A14="","",INDEX(DIFFERENTIATION_UNMERGE_AREA,MATCH(A14,DIFFERENTIATION_ID_DIFF,0)))</f>
        <v/>
      </c>
      <c r="I15" s="2356"/>
      <c r="J15" s="2356"/>
      <c r="K15" s="2356"/>
      <c r="L15" s="2356"/>
      <c r="M15" s="2356"/>
      <c r="N15" s="2356"/>
      <c r="O15" s="2356"/>
      <c r="P15" s="2356"/>
      <c r="Q15" s="2356"/>
      <c r="R15" s="2356"/>
      <c r="S15" s="656"/>
      <c r="T15" s="653"/>
      <c r="U15" s="562"/>
      <c r="V15" s="562"/>
      <c r="W15" s="563"/>
      <c r="X15" s="563"/>
      <c r="Y15" s="563"/>
      <c r="Z15" s="563"/>
      <c r="AA15" s="564"/>
      <c r="AB15" s="565"/>
      <c r="AC15" s="235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54"/>
      <c r="E16" s="2360" t="s">
        <v>578</v>
      </c>
      <c r="F16" s="2361"/>
      <c r="G16" s="2362"/>
      <c r="H16" s="2356" t="str">
        <f>IF(A14="","",INDEX(DIFFERENTIATION_UNMERGE_SYSTEM,MATCH(A14,DIFFERENTIATION_ID_DIFF,0)))</f>
        <v>без дифференциации</v>
      </c>
      <c r="I16" s="2356"/>
      <c r="J16" s="2356"/>
      <c r="K16" s="2356"/>
      <c r="L16" s="2356"/>
      <c r="M16" s="2356"/>
      <c r="N16" s="2356"/>
      <c r="O16" s="2356"/>
      <c r="P16" s="2356"/>
      <c r="Q16" s="2356"/>
      <c r="R16" s="2356"/>
      <c r="S16" s="656"/>
      <c r="T16" s="653"/>
      <c r="U16" s="562"/>
      <c r="V16" s="562"/>
      <c r="W16" s="563"/>
      <c r="X16" s="563"/>
      <c r="Y16" s="563"/>
      <c r="Z16" s="563"/>
      <c r="AA16" s="564"/>
      <c r="AB16" s="565"/>
      <c r="AC16" s="235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54"/>
      <c r="E17" s="2358" t="s">
        <v>623</v>
      </c>
      <c r="F17" s="2358"/>
      <c r="G17" s="2358"/>
      <c r="H17" s="2358"/>
      <c r="I17" s="2358"/>
      <c r="J17" s="2358"/>
      <c r="K17" s="2358"/>
      <c r="L17" s="2358"/>
      <c r="M17" s="2358"/>
      <c r="N17" s="2358"/>
      <c r="O17" s="2358"/>
      <c r="P17" s="2358"/>
      <c r="Q17" s="495">
        <f>SUMIF(T18:T19,"i",Q18:Q19)</f>
        <v>0</v>
      </c>
      <c r="R17" s="947"/>
      <c r="S17" s="827" t="s">
        <v>624</v>
      </c>
      <c r="T17" s="654" t="s">
        <v>625</v>
      </c>
      <c r="U17" s="2255">
        <v>1</v>
      </c>
      <c r="V17" s="2255" t="str">
        <f>INDEX(B_FHD_FLAG_INDEX_1,1,MATCH(A14,B_FHD_FLAG_DIFFERENTIATION,0))</f>
        <v>отсутствует</v>
      </c>
      <c r="W17" s="354"/>
      <c r="X17" s="354"/>
      <c r="Y17" s="354"/>
      <c r="Z17" s="354"/>
      <c r="AA17" s="448"/>
      <c r="AB17" s="354"/>
      <c r="AC17" s="235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54"/>
      <c r="E18" s="572"/>
      <c r="F18" s="572">
        <v>0</v>
      </c>
      <c r="G18" s="572"/>
      <c r="H18" s="572"/>
      <c r="I18" s="572"/>
      <c r="J18" s="572"/>
      <c r="K18" s="572"/>
      <c r="L18" s="572"/>
      <c r="M18" s="572"/>
      <c r="N18" s="572"/>
      <c r="O18" s="572"/>
      <c r="P18" s="572"/>
      <c r="Q18" s="572"/>
      <c r="R18" s="572"/>
      <c r="S18" s="573"/>
      <c r="T18" s="655"/>
      <c r="U18" s="2255"/>
      <c r="V18" s="2255"/>
      <c r="W18" s="448"/>
      <c r="X18" s="448"/>
      <c r="Y18" s="448"/>
      <c r="Z18" s="448"/>
      <c r="AA18" s="448"/>
      <c r="AB18" s="354"/>
      <c r="AC18" s="235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54"/>
      <c r="E19" s="586" t="s">
        <v>28</v>
      </c>
      <c r="F19" s="587" t="s">
        <v>28</v>
      </c>
      <c r="G19" s="587" t="s">
        <v>28</v>
      </c>
      <c r="H19" s="588" t="s">
        <v>28</v>
      </c>
      <c r="I19" s="588"/>
      <c r="J19" s="588"/>
      <c r="K19" s="588"/>
      <c r="L19" s="588"/>
      <c r="M19" s="588"/>
      <c r="N19" s="588"/>
      <c r="O19" s="588"/>
      <c r="P19" s="588"/>
      <c r="Q19" s="588"/>
      <c r="R19" s="589"/>
      <c r="S19" s="950"/>
      <c r="T19" s="655"/>
      <c r="U19" s="2255"/>
      <c r="V19" s="2255"/>
      <c r="W19" s="354"/>
      <c r="X19" s="354"/>
      <c r="Y19" s="354"/>
      <c r="Z19" s="354"/>
      <c r="AA19" s="448"/>
      <c r="AB19" s="354"/>
      <c r="AC19" s="235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54"/>
      <c r="E20" s="2358" t="s">
        <v>626</v>
      </c>
      <c r="F20" s="2358"/>
      <c r="G20" s="2358"/>
      <c r="H20" s="2358"/>
      <c r="I20" s="2358"/>
      <c r="J20" s="2358"/>
      <c r="K20" s="2358"/>
      <c r="L20" s="2358"/>
      <c r="M20" s="2358"/>
      <c r="N20" s="2358"/>
      <c r="O20" s="2358"/>
      <c r="P20" s="2358"/>
      <c r="Q20" s="495">
        <f>SUMIF(T21:T22,"i",Q21:Q22)</f>
        <v>0</v>
      </c>
      <c r="R20" s="947"/>
      <c r="S20" s="646" t="s">
        <v>627</v>
      </c>
      <c r="T20" s="654" t="s">
        <v>625</v>
      </c>
      <c r="U20" s="2255">
        <v>2</v>
      </c>
      <c r="V20" s="225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54"/>
      <c r="E21" s="572"/>
      <c r="F21" s="572">
        <v>0</v>
      </c>
      <c r="G21" s="572"/>
      <c r="H21" s="572"/>
      <c r="I21" s="572"/>
      <c r="J21" s="572"/>
      <c r="K21" s="572"/>
      <c r="L21" s="572"/>
      <c r="M21" s="572"/>
      <c r="N21" s="572"/>
      <c r="O21" s="572"/>
      <c r="P21" s="572"/>
      <c r="Q21" s="572"/>
      <c r="R21" s="572"/>
      <c r="S21" s="573"/>
      <c r="T21" s="655"/>
      <c r="U21" s="2255"/>
      <c r="V21" s="225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55"/>
      <c r="E22" s="586" t="s">
        <v>28</v>
      </c>
      <c r="F22" s="587" t="s">
        <v>28</v>
      </c>
      <c r="G22" s="587" t="s">
        <v>28</v>
      </c>
      <c r="H22" s="588" t="s">
        <v>28</v>
      </c>
      <c r="I22" s="588"/>
      <c r="J22" s="588"/>
      <c r="K22" s="588"/>
      <c r="L22" s="588"/>
      <c r="M22" s="588"/>
      <c r="N22" s="588"/>
      <c r="O22" s="588"/>
      <c r="P22" s="588"/>
      <c r="Q22" s="588"/>
      <c r="R22" s="589"/>
      <c r="S22" s="950"/>
      <c r="T22" s="655"/>
      <c r="U22" s="2255"/>
      <c r="V22" s="225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57"/>
      <c r="F27" s="2357"/>
      <c r="G27" s="2357"/>
      <c r="H27" s="2357"/>
      <c r="I27" s="2357"/>
      <c r="J27" s="2357"/>
      <c r="K27" s="2357"/>
      <c r="L27" s="2357"/>
      <c r="M27" s="2357"/>
      <c r="N27" s="2357"/>
      <c r="O27" s="2357"/>
      <c r="P27" s="2357"/>
      <c r="Q27" s="2357"/>
      <c r="R27" s="2357"/>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628</v>
      </c>
      <c r="C2" s="1975" t="s">
        <v>629</v>
      </c>
      <c r="D2" s="1974" t="s">
        <v>630</v>
      </c>
      <c r="E2" s="1978" t="e">
        <f>RIGHT(I2,LEN(I2)-SEARCH("#",SUBSTITUTE(I2,".","#",LEN(I2)-LEN(SUBSTITUTE(I2,".","")))))</f>
        <v>#VALUE!</v>
      </c>
      <c r="F2" s="1980">
        <f>J2</f>
        <v>0</v>
      </c>
      <c r="G2" s="1563"/>
      <c r="H2" s="1981"/>
      <c r="I2" s="1971"/>
      <c r="J2" s="477"/>
      <c r="K2" s="1941" t="s">
        <v>569</v>
      </c>
      <c r="L2" s="688"/>
      <c r="M2" s="688"/>
      <c r="N2" s="480"/>
      <c r="O2" s="1452" t="s">
        <v>570</v>
      </c>
      <c r="P2" s="480"/>
      <c r="Q2" s="1563"/>
      <c r="R2" s="1563"/>
      <c r="W2" s="1563"/>
      <c r="Z2" s="481"/>
      <c r="AF2" s="1559"/>
      <c r="AG2" s="1559"/>
      <c r="AH2" s="1559"/>
      <c r="AI2" s="1559"/>
      <c r="AJ2" s="1559"/>
      <c r="AK2" s="1293">
        <v>0</v>
      </c>
    </row>
    <row r="3" spans="1:37" ht="11.25" hidden="1" customHeight="1">
      <c r="E3" s="1973" t="s">
        <v>631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83" t="s">
        <v>632</v>
      </c>
      <c r="J6" s="2183"/>
      <c r="K6" s="2183"/>
      <c r="L6" s="2183"/>
      <c r="M6" s="2183"/>
      <c r="O6" s="493"/>
      <c r="AK6" s="1558">
        <v>55</v>
      </c>
    </row>
    <row r="7" spans="1:37" ht="25.15" customHeight="1">
      <c r="I7" s="2204" t="str">
        <f>IF(org=0,"Не определено",org)</f>
        <v>ООО ПКФ "Энергетик-2001"</v>
      </c>
      <c r="J7" s="2204"/>
      <c r="K7" s="2204"/>
      <c r="L7" s="2204"/>
      <c r="M7" s="220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633</v>
      </c>
      <c r="I10" s="648"/>
      <c r="J10" s="2349" t="s">
        <v>106</v>
      </c>
      <c r="K10" s="2350"/>
      <c r="L10" s="1951" t="str">
        <f>IF(L9="","",INDEX(DIFFERENTIATION_UNMERGE_VD,MATCH(L9,DIFFERENTIATION_ID_DIFF,0)))</f>
        <v/>
      </c>
      <c r="M10" s="1951">
        <f>IF(M9="","",INDEX(DIFFERENTIATION_UNMERGE_VD,MATCH(M9,DIFFERENTIATION_ID_DIFF,0)))</f>
        <v>0</v>
      </c>
      <c r="O10" s="2116" t="s">
        <v>307</v>
      </c>
      <c r="AK10" s="1558">
        <v>11</v>
      </c>
    </row>
    <row r="11" spans="1:37" ht="11.45" customHeight="1">
      <c r="E11" s="1972" t="s">
        <v>634</v>
      </c>
      <c r="I11" s="648"/>
      <c r="J11" s="2349" t="s">
        <v>577</v>
      </c>
      <c r="K11" s="2350"/>
      <c r="L11" s="1951" t="str">
        <f>IF(L9="","",INDEX(DIFFERENTIATION_UNMERGE_AREA,MATCH(L9,DIFFERENTIATION_ID_DIFF,0)))</f>
        <v/>
      </c>
      <c r="M11" s="1951" t="str">
        <f>IF(M9="","",INDEX(DIFFERENTIATION_UNMERGE_AREA,MATCH(M9,DIFFERENTIATION_ID_DIFF,0)))</f>
        <v/>
      </c>
      <c r="O11" s="2116"/>
      <c r="AK11" s="1558">
        <v>11</v>
      </c>
    </row>
    <row r="12" spans="1:37" ht="11.45" customHeight="1">
      <c r="E12" s="1972" t="s">
        <v>635</v>
      </c>
      <c r="I12" s="1589"/>
      <c r="J12" s="2349" t="s">
        <v>578</v>
      </c>
      <c r="K12" s="2350"/>
      <c r="L12" s="1951" t="str">
        <f>IF(L9="","",INDEX(DIFFERENTIATION_UNMERGE_SYSTEM,MATCH(L9,DIFFERENTIATION_ID_DIFF,0)))</f>
        <v/>
      </c>
      <c r="M12" s="1951" t="str">
        <f>IF(M9="","",INDEX(DIFFERENTIATION_UNMERGE_SYSTEM,MATCH(M9,DIFFERENTIATION_ID_DIFF,0)))</f>
        <v>без дифференциации</v>
      </c>
      <c r="O12" s="2116"/>
      <c r="AK12" s="1558">
        <v>11</v>
      </c>
    </row>
    <row r="13" spans="1:37" ht="11.45" customHeight="1">
      <c r="E13" s="1972" t="s">
        <v>636</v>
      </c>
      <c r="F13" s="1972" t="s">
        <v>637</v>
      </c>
      <c r="I13" s="2351" t="s">
        <v>306</v>
      </c>
      <c r="J13" s="2352"/>
      <c r="K13" s="2352"/>
      <c r="L13" s="1949"/>
      <c r="M13" s="1989"/>
      <c r="O13" s="2116"/>
      <c r="AK13" s="1558">
        <v>11</v>
      </c>
    </row>
    <row r="14" spans="1:37" ht="24" customHeight="1">
      <c r="I14" s="1942" t="s">
        <v>88</v>
      </c>
      <c r="J14" s="1942" t="s">
        <v>308</v>
      </c>
      <c r="K14" s="1942" t="s">
        <v>579</v>
      </c>
      <c r="L14" s="1982" t="s">
        <v>309</v>
      </c>
      <c r="M14" s="1983" t="s">
        <v>309</v>
      </c>
      <c r="O14" s="2116"/>
      <c r="AK14" s="1558">
        <v>23</v>
      </c>
    </row>
    <row r="15" spans="1:37" ht="24" customHeight="1">
      <c r="A15" s="1976"/>
      <c r="B15" s="1975" t="s">
        <v>638</v>
      </c>
      <c r="C15" s="1975" t="s">
        <v>639</v>
      </c>
      <c r="D15" s="1974" t="s">
        <v>640</v>
      </c>
      <c r="E15" s="1978" t="s">
        <v>641</v>
      </c>
      <c r="F15" s="1978" t="s">
        <v>641</v>
      </c>
      <c r="G15" s="1563" t="s">
        <v>601</v>
      </c>
      <c r="H15" s="1943"/>
      <c r="I15" s="1557">
        <v>1</v>
      </c>
      <c r="J15" s="1944" t="s">
        <v>642</v>
      </c>
      <c r="K15" s="1942" t="s">
        <v>312</v>
      </c>
      <c r="L15" s="599"/>
      <c r="M15" s="749"/>
      <c r="N15" s="480" t="s">
        <v>643</v>
      </c>
      <c r="O15" s="1452" t="s">
        <v>644</v>
      </c>
      <c r="P15" s="480" t="s">
        <v>643</v>
      </c>
      <c r="AK15" s="1558">
        <v>23</v>
      </c>
    </row>
    <row r="16" spans="1:37" ht="35.65" customHeight="1">
      <c r="A16" s="1976"/>
      <c r="B16" s="1975" t="s">
        <v>645</v>
      </c>
      <c r="C16" s="1975" t="s">
        <v>646</v>
      </c>
      <c r="D16" s="1974" t="s">
        <v>630</v>
      </c>
      <c r="E16" s="1978" t="s">
        <v>641</v>
      </c>
      <c r="F16" s="1978" t="s">
        <v>641</v>
      </c>
      <c r="H16" s="1943"/>
      <c r="I16" s="1556">
        <v>2</v>
      </c>
      <c r="J16" s="1985" t="s">
        <v>647</v>
      </c>
      <c r="K16" s="1984" t="s">
        <v>569</v>
      </c>
      <c r="L16" s="1990"/>
      <c r="M16" s="1603"/>
      <c r="N16" s="480" t="s">
        <v>643</v>
      </c>
      <c r="O16" s="1452" t="s">
        <v>648</v>
      </c>
      <c r="P16" s="480" t="s">
        <v>643</v>
      </c>
      <c r="AK16" s="1558">
        <v>34</v>
      </c>
    </row>
    <row r="17" spans="1:37" s="1569" customFormat="1" ht="17.25" hidden="1" customHeight="1">
      <c r="A17" s="1094"/>
      <c r="B17" s="1094"/>
      <c r="C17" s="1094"/>
      <c r="D17" s="1094"/>
      <c r="E17" s="1094"/>
      <c r="H17" s="1251"/>
      <c r="I17" s="943" t="s">
        <v>649</v>
      </c>
      <c r="J17" s="921"/>
      <c r="K17" s="943"/>
      <c r="L17" s="922"/>
      <c r="M17" s="922"/>
      <c r="O17" s="1312"/>
      <c r="AK17" s="1563">
        <v>1</v>
      </c>
    </row>
    <row r="18" spans="1:37" s="1293" customFormat="1" ht="24" customHeight="1">
      <c r="A18" s="917"/>
      <c r="B18" s="917"/>
      <c r="C18" s="917"/>
      <c r="D18" s="917"/>
      <c r="E18" s="917"/>
      <c r="G18" s="1563"/>
      <c r="H18" s="1560"/>
      <c r="I18" s="507"/>
      <c r="J18" s="508" t="s">
        <v>599</v>
      </c>
      <c r="K18" s="509"/>
      <c r="L18" s="1992"/>
      <c r="M18" s="510"/>
      <c r="N18" s="480"/>
      <c r="O18" s="1452" t="s">
        <v>600</v>
      </c>
      <c r="P18" s="480"/>
      <c r="Q18" s="1563"/>
      <c r="R18" s="1563"/>
      <c r="W18" s="1563"/>
      <c r="Z18" s="481"/>
      <c r="AF18" s="1559"/>
      <c r="AG18" s="1559"/>
      <c r="AH18" s="1559"/>
      <c r="AI18" s="1559"/>
      <c r="AJ18" s="1559"/>
      <c r="AK18" s="1293">
        <v>23</v>
      </c>
    </row>
    <row r="19" spans="1:37" ht="19.899999999999999" customHeight="1">
      <c r="A19" s="1976"/>
      <c r="B19" s="1975" t="s">
        <v>650</v>
      </c>
      <c r="C19" s="1975" t="s">
        <v>651</v>
      </c>
      <c r="D19" s="1974" t="s">
        <v>630</v>
      </c>
      <c r="E19" s="1978" t="s">
        <v>641</v>
      </c>
      <c r="F19" s="1978" t="s">
        <v>641</v>
      </c>
      <c r="H19" s="1943"/>
      <c r="I19" s="1591">
        <v>3</v>
      </c>
      <c r="J19" s="1944" t="s">
        <v>651</v>
      </c>
      <c r="K19" s="1940" t="s">
        <v>569</v>
      </c>
      <c r="L19" s="664"/>
      <c r="M19" s="494"/>
      <c r="N19" s="480"/>
      <c r="O19" s="1452" t="s">
        <v>652</v>
      </c>
      <c r="P19" s="480"/>
      <c r="AK19" s="1558">
        <v>19</v>
      </c>
    </row>
    <row r="20" spans="1:37" ht="77.650000000000006" customHeight="1">
      <c r="A20" s="1976"/>
      <c r="B20" s="1975" t="s">
        <v>653</v>
      </c>
      <c r="C20" s="1975" t="s">
        <v>654</v>
      </c>
      <c r="D20" s="1974" t="s">
        <v>630</v>
      </c>
      <c r="E20" s="1978" t="s">
        <v>641</v>
      </c>
      <c r="F20" s="1978" t="s">
        <v>641</v>
      </c>
      <c r="H20" s="1943"/>
      <c r="I20" s="1591">
        <v>4</v>
      </c>
      <c r="J20" s="1944" t="s">
        <v>655</v>
      </c>
      <c r="K20" s="1940" t="s">
        <v>596</v>
      </c>
      <c r="L20" s="664"/>
      <c r="M20" s="494"/>
      <c r="N20" s="480"/>
      <c r="O20" s="1452"/>
      <c r="P20" s="480"/>
      <c r="AK20" s="1558">
        <v>74</v>
      </c>
    </row>
    <row r="21" spans="1:37" ht="35.65" customHeight="1">
      <c r="A21" s="1976"/>
      <c r="B21" s="1975" t="s">
        <v>656</v>
      </c>
      <c r="C21" s="1975" t="s">
        <v>657</v>
      </c>
      <c r="D21" s="1974" t="s">
        <v>630</v>
      </c>
      <c r="E21" s="1978" t="s">
        <v>641</v>
      </c>
      <c r="F21" s="1978" t="s">
        <v>641</v>
      </c>
      <c r="H21" s="1943"/>
      <c r="I21" s="1591">
        <v>5</v>
      </c>
      <c r="J21" s="1944" t="s">
        <v>658</v>
      </c>
      <c r="K21" s="1940" t="s">
        <v>596</v>
      </c>
      <c r="L21" s="664"/>
      <c r="M21" s="494"/>
      <c r="N21" s="480"/>
      <c r="O21" s="1452" t="s">
        <v>652</v>
      </c>
      <c r="P21" s="480"/>
      <c r="AK21" s="1558">
        <v>34</v>
      </c>
    </row>
    <row r="22" spans="1:37" ht="48.2" customHeight="1">
      <c r="A22" s="1976"/>
      <c r="B22" s="1975" t="s">
        <v>659</v>
      </c>
      <c r="C22" s="1975" t="s">
        <v>660</v>
      </c>
      <c r="D22" s="1974" t="s">
        <v>630</v>
      </c>
      <c r="E22" s="1978" t="s">
        <v>641</v>
      </c>
      <c r="F22" s="1978" t="s">
        <v>641</v>
      </c>
      <c r="H22" s="1943"/>
      <c r="I22" s="1591">
        <v>6</v>
      </c>
      <c r="J22" s="1944" t="s">
        <v>661</v>
      </c>
      <c r="K22" s="1940" t="s">
        <v>596</v>
      </c>
      <c r="L22" s="664"/>
      <c r="M22" s="494"/>
      <c r="N22" s="480"/>
      <c r="O22" s="1452" t="s">
        <v>662</v>
      </c>
      <c r="P22" s="480"/>
      <c r="AK22" s="1558">
        <v>46</v>
      </c>
    </row>
    <row r="23" spans="1:37" ht="19.899999999999999" customHeight="1">
      <c r="A23" s="1976"/>
      <c r="B23" s="1975" t="s">
        <v>663</v>
      </c>
      <c r="C23" s="1975" t="s">
        <v>664</v>
      </c>
      <c r="D23" s="1974" t="s">
        <v>630</v>
      </c>
      <c r="E23" s="1978" t="s">
        <v>641</v>
      </c>
      <c r="F23" s="1978" t="s">
        <v>641</v>
      </c>
      <c r="H23" s="1943"/>
      <c r="I23" s="1591" t="s">
        <v>665</v>
      </c>
      <c r="J23" s="1451" t="s">
        <v>666</v>
      </c>
      <c r="K23" s="1940" t="s">
        <v>596</v>
      </c>
      <c r="L23" s="664"/>
      <c r="M23" s="494"/>
      <c r="N23" s="480"/>
      <c r="O23" s="1452" t="s">
        <v>652</v>
      </c>
      <c r="P23" s="480"/>
      <c r="AK23" s="1558">
        <v>19</v>
      </c>
    </row>
    <row r="24" spans="1:37" ht="19.899999999999999" customHeight="1">
      <c r="A24" s="1976"/>
      <c r="B24" s="1975" t="s">
        <v>667</v>
      </c>
      <c r="C24" s="1975" t="s">
        <v>668</v>
      </c>
      <c r="D24" s="1974" t="s">
        <v>630</v>
      </c>
      <c r="E24" s="1978" t="s">
        <v>641</v>
      </c>
      <c r="F24" s="1978" t="s">
        <v>641</v>
      </c>
      <c r="H24" s="1943"/>
      <c r="I24" s="1591" t="s">
        <v>669</v>
      </c>
      <c r="J24" s="1451" t="s">
        <v>670</v>
      </c>
      <c r="K24" s="1940" t="s">
        <v>596</v>
      </c>
      <c r="L24" s="664"/>
      <c r="M24" s="494"/>
      <c r="N24" s="480"/>
      <c r="O24" s="1452"/>
      <c r="P24" s="480"/>
      <c r="AK24" s="1558">
        <v>19</v>
      </c>
    </row>
    <row r="25" spans="1:37" ht="24" customHeight="1">
      <c r="A25" s="1976"/>
      <c r="B25" s="1975" t="s">
        <v>671</v>
      </c>
      <c r="C25" s="1975" t="s">
        <v>672</v>
      </c>
      <c r="D25" s="1974" t="s">
        <v>630</v>
      </c>
      <c r="E25" s="1978" t="s">
        <v>641</v>
      </c>
      <c r="F25" s="1978" t="s">
        <v>641</v>
      </c>
      <c r="H25" s="1943"/>
      <c r="I25" s="1591" t="s">
        <v>673</v>
      </c>
      <c r="J25" s="1451" t="s">
        <v>674</v>
      </c>
      <c r="K25" s="1940" t="s">
        <v>596</v>
      </c>
      <c r="L25" s="664"/>
      <c r="M25" s="494"/>
      <c r="N25" s="480"/>
      <c r="O25" s="1452"/>
      <c r="P25" s="480"/>
      <c r="AK25" s="1558">
        <v>23</v>
      </c>
    </row>
    <row r="26" spans="1:37" ht="24" customHeight="1">
      <c r="A26" s="1976"/>
      <c r="B26" s="1975" t="s">
        <v>675</v>
      </c>
      <c r="C26" s="1975" t="s">
        <v>676</v>
      </c>
      <c r="D26" s="1974" t="s">
        <v>630</v>
      </c>
      <c r="E26" s="1978" t="s">
        <v>641</v>
      </c>
      <c r="F26" s="1978" t="s">
        <v>641</v>
      </c>
      <c r="H26" s="1943"/>
      <c r="I26" s="1591">
        <v>7</v>
      </c>
      <c r="J26" s="1944" t="s">
        <v>676</v>
      </c>
      <c r="K26" s="1940" t="s">
        <v>677</v>
      </c>
      <c r="L26" s="664"/>
      <c r="M26" s="494"/>
      <c r="N26" s="480"/>
      <c r="O26" s="1452"/>
      <c r="P26" s="480"/>
      <c r="AK26" s="1558">
        <v>23</v>
      </c>
    </row>
    <row r="27" spans="1:37" ht="24" customHeight="1">
      <c r="A27" s="1976"/>
      <c r="B27" s="1975" t="s">
        <v>678</v>
      </c>
      <c r="C27" s="1975" t="s">
        <v>679</v>
      </c>
      <c r="D27" s="1974" t="s">
        <v>630</v>
      </c>
      <c r="E27" s="1978" t="s">
        <v>641</v>
      </c>
      <c r="F27" s="1978" t="s">
        <v>641</v>
      </c>
      <c r="H27" s="1943"/>
      <c r="I27" s="1591">
        <v>8</v>
      </c>
      <c r="J27" s="1944" t="s">
        <v>679</v>
      </c>
      <c r="K27" s="1940" t="s">
        <v>602</v>
      </c>
      <c r="L27" s="664"/>
      <c r="M27" s="494"/>
      <c r="N27" s="480"/>
      <c r="O27" s="1452"/>
      <c r="P27" s="480"/>
      <c r="AK27" s="1558">
        <v>23</v>
      </c>
    </row>
    <row r="28" spans="1:37" ht="35.65" customHeight="1">
      <c r="A28" s="1976"/>
      <c r="B28" s="1975" t="s">
        <v>680</v>
      </c>
      <c r="C28" s="1975" t="s">
        <v>681</v>
      </c>
      <c r="D28" s="1974" t="s">
        <v>630</v>
      </c>
      <c r="E28" s="1978" t="s">
        <v>641</v>
      </c>
      <c r="F28" s="1978" t="s">
        <v>641</v>
      </c>
      <c r="H28" s="1943"/>
      <c r="I28" s="1602">
        <v>9</v>
      </c>
      <c r="J28" s="1944" t="s">
        <v>682</v>
      </c>
      <c r="K28" s="1940" t="s">
        <v>573</v>
      </c>
      <c r="L28" s="664"/>
      <c r="M28" s="494"/>
      <c r="N28" s="480"/>
      <c r="O28" s="1452"/>
      <c r="P28" s="480"/>
      <c r="AK28" s="1558">
        <v>34</v>
      </c>
    </row>
    <row r="29" spans="1:37" ht="35.65" customHeight="1">
      <c r="A29" s="1976"/>
      <c r="B29" s="1975" t="s">
        <v>683</v>
      </c>
      <c r="C29" s="1975" t="s">
        <v>684</v>
      </c>
      <c r="D29" s="1974" t="s">
        <v>630</v>
      </c>
      <c r="E29" s="1978" t="s">
        <v>641</v>
      </c>
      <c r="F29" s="1978" t="s">
        <v>641</v>
      </c>
      <c r="H29" s="1943"/>
      <c r="I29" s="1602">
        <v>10</v>
      </c>
      <c r="J29" s="1944" t="s">
        <v>685</v>
      </c>
      <c r="K29" s="1940" t="s">
        <v>573</v>
      </c>
      <c r="L29" s="664"/>
      <c r="M29" s="494"/>
      <c r="N29" s="480"/>
      <c r="O29" s="1452"/>
      <c r="P29" s="480"/>
      <c r="AK29" s="1558">
        <v>34</v>
      </c>
    </row>
    <row r="30" spans="1:37" ht="24" customHeight="1">
      <c r="A30" s="1976"/>
      <c r="B30" s="1975" t="s">
        <v>686</v>
      </c>
      <c r="C30" s="1975" t="s">
        <v>687</v>
      </c>
      <c r="D30" s="1974" t="s">
        <v>630</v>
      </c>
      <c r="E30" s="1978" t="s">
        <v>641</v>
      </c>
      <c r="F30" s="1978" t="s">
        <v>641</v>
      </c>
      <c r="H30" s="1943"/>
      <c r="I30" s="1602">
        <v>11</v>
      </c>
      <c r="J30" s="1944" t="s">
        <v>687</v>
      </c>
      <c r="K30" s="1940" t="s">
        <v>603</v>
      </c>
      <c r="L30" s="1991"/>
      <c r="M30" s="1548"/>
      <c r="N30" s="480"/>
      <c r="O30" s="1452"/>
      <c r="P30" s="480"/>
      <c r="AK30" s="1558">
        <v>23</v>
      </c>
    </row>
    <row r="31" spans="1:37" ht="24" customHeight="1">
      <c r="A31" s="1976"/>
      <c r="B31" s="1975" t="s">
        <v>688</v>
      </c>
      <c r="C31" s="1975" t="s">
        <v>689</v>
      </c>
      <c r="D31" s="1974" t="s">
        <v>630</v>
      </c>
      <c r="E31" s="1978" t="s">
        <v>641</v>
      </c>
      <c r="F31" s="1978" t="s">
        <v>641</v>
      </c>
      <c r="H31" s="1943"/>
      <c r="I31" s="1602">
        <v>12</v>
      </c>
      <c r="J31" s="1944" t="s">
        <v>689</v>
      </c>
      <c r="K31" s="1940" t="s">
        <v>603</v>
      </c>
      <c r="L31" s="1991"/>
      <c r="M31" s="1548"/>
      <c r="N31" s="480"/>
      <c r="O31" s="1452"/>
      <c r="P31" s="480"/>
      <c r="AK31" s="1558">
        <v>23</v>
      </c>
    </row>
    <row r="32" spans="1:37" ht="48.2" customHeight="1">
      <c r="A32" s="1976"/>
      <c r="B32" s="1975" t="s">
        <v>690</v>
      </c>
      <c r="C32" s="1975" t="s">
        <v>691</v>
      </c>
      <c r="D32" s="1974" t="s">
        <v>630</v>
      </c>
      <c r="E32" s="1978" t="s">
        <v>641</v>
      </c>
      <c r="F32" s="1978" t="s">
        <v>641</v>
      </c>
      <c r="H32" s="1943"/>
      <c r="I32" s="1602">
        <v>13</v>
      </c>
      <c r="J32" s="1944" t="s">
        <v>692</v>
      </c>
      <c r="K32" s="1940" t="s">
        <v>613</v>
      </c>
      <c r="L32" s="664"/>
      <c r="M32" s="494"/>
      <c r="N32" s="480"/>
      <c r="O32" s="1452" t="s">
        <v>652</v>
      </c>
      <c r="P32" s="480"/>
      <c r="AK32" s="1558">
        <v>46</v>
      </c>
    </row>
    <row r="33" spans="1:37" s="1293" customFormat="1" ht="48.2" customHeight="1">
      <c r="A33" s="1976"/>
      <c r="B33" s="1975" t="s">
        <v>693</v>
      </c>
      <c r="C33" s="1975" t="s">
        <v>694</v>
      </c>
      <c r="D33" s="1974" t="s">
        <v>630</v>
      </c>
      <c r="E33" s="1978" t="s">
        <v>641</v>
      </c>
      <c r="F33" s="1978" t="s">
        <v>641</v>
      </c>
      <c r="G33" s="1563"/>
      <c r="H33" s="1943"/>
      <c r="I33" s="1602">
        <v>14</v>
      </c>
      <c r="J33" s="1956" t="s">
        <v>695</v>
      </c>
      <c r="K33" s="1945" t="s">
        <v>696</v>
      </c>
      <c r="L33" s="664"/>
      <c r="M33" s="494"/>
      <c r="N33" s="480"/>
      <c r="O33" s="1452" t="s">
        <v>652</v>
      </c>
      <c r="P33" s="480"/>
      <c r="Q33" s="1563"/>
      <c r="R33" s="1563"/>
      <c r="W33" s="1563"/>
      <c r="Z33" s="481"/>
      <c r="AF33" s="1559"/>
      <c r="AG33" s="1559"/>
      <c r="AH33" s="1559"/>
      <c r="AI33" s="1559"/>
      <c r="AJ33" s="1559"/>
      <c r="AK33" s="1293">
        <v>46</v>
      </c>
    </row>
    <row r="34" spans="1:37" ht="108" customHeight="1">
      <c r="A34" s="1976"/>
      <c r="B34" s="1975" t="s">
        <v>697</v>
      </c>
      <c r="C34" s="1975" t="s">
        <v>698</v>
      </c>
      <c r="D34" s="1974" t="s">
        <v>640</v>
      </c>
      <c r="E34" s="1978" t="s">
        <v>641</v>
      </c>
      <c r="F34" s="1978" t="s">
        <v>641</v>
      </c>
      <c r="G34" s="1563" t="s">
        <v>601</v>
      </c>
      <c r="H34" s="1943"/>
      <c r="I34" s="1954">
        <v>15</v>
      </c>
      <c r="J34" s="1955" t="s">
        <v>699</v>
      </c>
      <c r="K34" s="1940" t="s">
        <v>312</v>
      </c>
      <c r="L34" s="322"/>
      <c r="M34" s="1091"/>
      <c r="N34" s="480"/>
      <c r="O34" s="1452" t="s">
        <v>644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9"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700</v>
      </c>
      <c r="C2" s="1975" t="s">
        <v>701</v>
      </c>
      <c r="D2" s="1974" t="s">
        <v>640</v>
      </c>
      <c r="E2" s="1980">
        <f>I2-3</f>
        <v>-3</v>
      </c>
      <c r="F2" s="1980">
        <f>J2</f>
        <v>0</v>
      </c>
      <c r="H2" s="1656" t="s">
        <v>451</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32" t="s">
        <v>702</v>
      </c>
      <c r="J5" s="2232"/>
      <c r="K5" s="2232"/>
      <c r="L5" s="2232"/>
      <c r="M5" s="204"/>
      <c r="W5" s="1558">
        <v>48</v>
      </c>
    </row>
    <row r="6" spans="1:23" ht="18" customHeight="1">
      <c r="H6" s="313"/>
      <c r="I6" s="2204" t="str">
        <f>IF(org=0,"Не определено",org)</f>
        <v>ООО ПКФ "Энергетик-2001"</v>
      </c>
      <c r="J6" s="2204"/>
      <c r="K6" s="2204"/>
      <c r="L6" s="2204"/>
      <c r="M6" s="204"/>
      <c r="W6" s="1558">
        <v>17</v>
      </c>
    </row>
    <row r="7" spans="1:23" ht="14.65" customHeight="1">
      <c r="H7" s="313"/>
      <c r="I7" s="394"/>
      <c r="J7" s="400"/>
      <c r="K7" s="400"/>
      <c r="L7" s="689"/>
      <c r="M7" s="131"/>
      <c r="W7" s="1558">
        <v>14</v>
      </c>
    </row>
    <row r="8" spans="1:23" ht="14.65" customHeight="1">
      <c r="H8" s="313"/>
      <c r="I8" s="2363" t="s">
        <v>306</v>
      </c>
      <c r="J8" s="2364"/>
      <c r="K8" s="2364"/>
      <c r="L8" s="2365"/>
      <c r="M8" s="2366" t="s">
        <v>307</v>
      </c>
      <c r="W8" s="1558">
        <v>14</v>
      </c>
    </row>
    <row r="9" spans="1:23" ht="35.65" customHeight="1">
      <c r="E9" s="1973" t="s">
        <v>631</v>
      </c>
      <c r="F9" s="1973" t="s">
        <v>637</v>
      </c>
      <c r="H9" s="313"/>
      <c r="I9" s="1947" t="s">
        <v>88</v>
      </c>
      <c r="J9" s="1948" t="s">
        <v>308</v>
      </c>
      <c r="K9" s="1986" t="s">
        <v>579</v>
      </c>
      <c r="L9" s="1987" t="s">
        <v>309</v>
      </c>
      <c r="M9" s="2366"/>
      <c r="W9" s="1558">
        <v>34</v>
      </c>
    </row>
    <row r="10" spans="1:23" ht="35.65" customHeight="1">
      <c r="B10" s="1975" t="s">
        <v>703</v>
      </c>
      <c r="C10" s="1975" t="s">
        <v>704</v>
      </c>
      <c r="D10" s="1974" t="s">
        <v>640</v>
      </c>
      <c r="E10" s="1978" t="s">
        <v>641</v>
      </c>
      <c r="F10" s="1978" t="s">
        <v>641</v>
      </c>
      <c r="H10" s="313"/>
      <c r="I10" s="1946" t="s">
        <v>110</v>
      </c>
      <c r="J10" s="1811" t="s">
        <v>705</v>
      </c>
      <c r="K10" s="1940" t="s">
        <v>312</v>
      </c>
      <c r="L10" s="749"/>
      <c r="M10" s="235" t="s">
        <v>706</v>
      </c>
      <c r="W10" s="1558">
        <v>34</v>
      </c>
    </row>
    <row r="11" spans="1:23" ht="50.25" customHeight="1">
      <c r="B11" s="1975" t="s">
        <v>707</v>
      </c>
      <c r="C11" s="1975" t="s">
        <v>708</v>
      </c>
      <c r="D11" s="1974" t="s">
        <v>640</v>
      </c>
      <c r="E11" s="1978" t="s">
        <v>641</v>
      </c>
      <c r="F11" s="1978" t="s">
        <v>641</v>
      </c>
      <c r="H11" s="313"/>
      <c r="I11" s="1946" t="s">
        <v>111</v>
      </c>
      <c r="J11" s="1811" t="s">
        <v>709</v>
      </c>
      <c r="K11" s="1940" t="s">
        <v>312</v>
      </c>
      <c r="L11" s="749"/>
      <c r="M11" s="235" t="s">
        <v>706</v>
      </c>
      <c r="W11" s="1558">
        <v>48</v>
      </c>
    </row>
    <row r="12" spans="1:23" ht="48.2" customHeight="1">
      <c r="B12" s="1975" t="s">
        <v>710</v>
      </c>
      <c r="C12" s="1975" t="s">
        <v>711</v>
      </c>
      <c r="D12" s="1974" t="s">
        <v>640</v>
      </c>
      <c r="E12" s="1978" t="s">
        <v>641</v>
      </c>
      <c r="F12" s="1978" t="s">
        <v>641</v>
      </c>
      <c r="H12" s="1615"/>
      <c r="I12" s="1946" t="s">
        <v>90</v>
      </c>
      <c r="J12" s="1953" t="s">
        <v>712</v>
      </c>
      <c r="K12" s="1940" t="s">
        <v>312</v>
      </c>
      <c r="L12" s="749"/>
      <c r="M12" s="235" t="s">
        <v>713</v>
      </c>
      <c r="N12" s="1551"/>
      <c r="P12" s="1558"/>
      <c r="W12" s="1558">
        <v>46</v>
      </c>
    </row>
    <row r="13" spans="1:23" ht="14.65" customHeight="1">
      <c r="E13" s="281"/>
      <c r="H13" s="313"/>
      <c r="I13" s="285"/>
      <c r="J13" s="588" t="s">
        <v>714</v>
      </c>
      <c r="K13" s="508"/>
      <c r="L13" s="152"/>
      <c r="M13" s="235"/>
      <c r="W13" s="1558">
        <v>14</v>
      </c>
    </row>
    <row r="14" spans="1:23" ht="14.65" customHeight="1">
      <c r="E14" s="281"/>
      <c r="H14" s="313"/>
      <c r="I14" s="987"/>
      <c r="J14" s="1604"/>
      <c r="K14" s="1605"/>
      <c r="L14" s="1606"/>
      <c r="M14" s="1950"/>
      <c r="W14" s="1558">
        <v>14</v>
      </c>
    </row>
    <row r="15" spans="1:23" ht="14.65" customHeight="1">
      <c r="I15" s="1608"/>
      <c r="J15" s="2250"/>
      <c r="K15" s="2250"/>
      <c r="L15" s="2250"/>
      <c r="M15" s="2250"/>
      <c r="W15" s="1558">
        <v>14</v>
      </c>
    </row>
    <row r="16" spans="1:23" ht="21" hidden="1" customHeight="1">
      <c r="A16" s="1952" t="s">
        <v>82</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565</v>
      </c>
      <c r="H2" s="478"/>
      <c r="I2" s="478"/>
      <c r="J2" s="479" t="s">
        <v>715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83" t="s">
        <v>716</v>
      </c>
      <c r="F6" s="2183"/>
      <c r="G6" s="2183"/>
      <c r="H6" s="2183"/>
      <c r="I6" s="2183"/>
      <c r="J6" s="493"/>
      <c r="AF6" s="1558">
        <v>30</v>
      </c>
    </row>
    <row r="7" spans="1:32" ht="11.45" customHeight="1">
      <c r="E7" s="2204" t="str">
        <f>IF(org=0,"Не определено",org)</f>
        <v>ООО ПКФ "Энергетик-2001"</v>
      </c>
      <c r="F7" s="2204"/>
      <c r="G7" s="2204"/>
      <c r="H7" s="2204"/>
      <c r="I7" s="2204"/>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49" t="s">
        <v>106</v>
      </c>
      <c r="G10" s="2350"/>
      <c r="H10" s="1479" t="str">
        <f>IF(H9="","",INDEX(DIFFERENTIATION_UNMERGE_VD,MATCH(H9,DIFFERENTIATION_ID_DIFF,0)))</f>
        <v/>
      </c>
      <c r="I10" s="1479">
        <f>IF(I9="","",INDEX(DIFFERENTIATION_UNMERGE_VD,MATCH(I9,DIFFERENTIATION_ID_DIFF,0)))</f>
        <v>0</v>
      </c>
      <c r="J10" s="2116"/>
      <c r="AF10" s="1558">
        <v>11</v>
      </c>
    </row>
    <row r="11" spans="1:32" ht="11.45" customHeight="1">
      <c r="E11" s="648"/>
      <c r="F11" s="2349" t="s">
        <v>577</v>
      </c>
      <c r="G11" s="2350"/>
      <c r="H11" s="1479" t="str">
        <f>IF(H9="","",INDEX(DIFFERENTIATION_UNMERGE_AREA,MATCH(H9,DIFFERENTIATION_ID_DIFF,0)))</f>
        <v/>
      </c>
      <c r="I11" s="1479" t="str">
        <f>IF(I9="","",INDEX(DIFFERENTIATION_UNMERGE_AREA,MATCH(I9,DIFFERENTIATION_ID_DIFF,0)))</f>
        <v/>
      </c>
      <c r="J11" s="2116"/>
      <c r="AF11" s="1558">
        <v>11</v>
      </c>
    </row>
    <row r="12" spans="1:32" ht="1.1499999999999999" customHeight="1">
      <c r="E12" s="1589"/>
      <c r="F12" s="2367" t="s">
        <v>578</v>
      </c>
      <c r="G12" s="2368"/>
      <c r="H12" s="1590" t="str">
        <f>IF(H9="","",INDEX(DIFFERENTIATION_UNMERGE_SYSTEM,MATCH(H9,DIFFERENTIATION_ID_DIFF,0)))</f>
        <v/>
      </c>
      <c r="I12" s="1590" t="str">
        <f>IF(I9="","",INDEX(DIFFERENTIATION_UNMERGE_SYSTEM,MATCH(I9,DIFFERENTIATION_ID_DIFF,0)))</f>
        <v>без дифференциации</v>
      </c>
      <c r="J12" s="2116"/>
      <c r="AF12" s="1558">
        <v>1</v>
      </c>
    </row>
    <row r="13" spans="1:32" ht="11.45" customHeight="1">
      <c r="E13" s="2351" t="s">
        <v>306</v>
      </c>
      <c r="F13" s="2352"/>
      <c r="G13" s="2352"/>
      <c r="H13" s="1478"/>
      <c r="I13" s="1478"/>
      <c r="J13" s="2116"/>
      <c r="AF13" s="1558">
        <v>11</v>
      </c>
    </row>
    <row r="14" spans="1:32" ht="24" customHeight="1">
      <c r="E14" s="1566" t="s">
        <v>88</v>
      </c>
      <c r="F14" s="1561" t="s">
        <v>308</v>
      </c>
      <c r="G14" s="1561" t="s">
        <v>579</v>
      </c>
      <c r="H14" s="1561" t="s">
        <v>309</v>
      </c>
      <c r="I14" s="1561" t="s">
        <v>309</v>
      </c>
      <c r="J14" s="2116"/>
      <c r="AF14" s="1558">
        <v>23</v>
      </c>
    </row>
    <row r="15" spans="1:32" ht="19.899999999999999" customHeight="1">
      <c r="D15" s="1565"/>
      <c r="E15" s="1557" t="s">
        <v>110</v>
      </c>
      <c r="F15" s="644" t="s">
        <v>717</v>
      </c>
      <c r="G15" s="1573" t="s">
        <v>565</v>
      </c>
      <c r="H15" s="494"/>
      <c r="I15" s="494"/>
      <c r="J15" s="227" t="s">
        <v>718</v>
      </c>
      <c r="K15" s="480" t="s">
        <v>643</v>
      </c>
      <c r="AF15" s="1558">
        <v>19</v>
      </c>
    </row>
    <row r="16" spans="1:32" ht="35.65" customHeight="1">
      <c r="D16" s="1565"/>
      <c r="E16" s="1557" t="s">
        <v>111</v>
      </c>
      <c r="F16" s="644" t="s">
        <v>719</v>
      </c>
      <c r="G16" s="1573" t="s">
        <v>565</v>
      </c>
      <c r="H16" s="495">
        <f>SUM(H17,H20:H32)</f>
        <v>0</v>
      </c>
      <c r="I16" s="495">
        <f>SUM(I17,I20,I23,I26,I29:I32)</f>
        <v>0</v>
      </c>
      <c r="J16" s="227" t="s">
        <v>720</v>
      </c>
      <c r="K16" s="480" t="s">
        <v>643</v>
      </c>
      <c r="AF16" s="1558">
        <v>34</v>
      </c>
    </row>
    <row r="17" spans="1:32" ht="19.899999999999999" customHeight="1">
      <c r="D17" s="1565"/>
      <c r="E17" s="1591" t="s">
        <v>721</v>
      </c>
      <c r="F17" s="884" t="s">
        <v>722</v>
      </c>
      <c r="G17" s="1570" t="s">
        <v>565</v>
      </c>
      <c r="H17" s="494"/>
      <c r="I17" s="494"/>
      <c r="J17" s="227" t="s">
        <v>723</v>
      </c>
      <c r="K17" s="480"/>
      <c r="AF17" s="1558">
        <v>19</v>
      </c>
    </row>
    <row r="18" spans="1:32" ht="24" customHeight="1">
      <c r="D18" s="1565"/>
      <c r="E18" s="1591" t="s">
        <v>724</v>
      </c>
      <c r="F18" s="1577" t="s">
        <v>725</v>
      </c>
      <c r="G18" s="1570" t="s">
        <v>565</v>
      </c>
      <c r="H18" s="494"/>
      <c r="I18" s="494"/>
      <c r="J18" s="227" t="s">
        <v>726</v>
      </c>
      <c r="K18" s="480"/>
      <c r="AF18" s="1558">
        <v>23</v>
      </c>
    </row>
    <row r="19" spans="1:32" ht="35.65" customHeight="1">
      <c r="D19" s="1565"/>
      <c r="E19" s="1591" t="s">
        <v>727</v>
      </c>
      <c r="F19" s="1577" t="s">
        <v>728</v>
      </c>
      <c r="G19" s="1570" t="s">
        <v>565</v>
      </c>
      <c r="H19" s="494"/>
      <c r="I19" s="494"/>
      <c r="J19" s="227"/>
      <c r="K19" s="480"/>
      <c r="AF19" s="1558">
        <v>34</v>
      </c>
    </row>
    <row r="20" spans="1:32" ht="19.899999999999999" customHeight="1">
      <c r="D20" s="1565"/>
      <c r="E20" s="1591" t="s">
        <v>313</v>
      </c>
      <c r="F20" s="884" t="s">
        <v>729</v>
      </c>
      <c r="G20" s="1570" t="s">
        <v>565</v>
      </c>
      <c r="H20" s="494"/>
      <c r="I20" s="494"/>
      <c r="J20" s="227" t="s">
        <v>730</v>
      </c>
      <c r="K20" s="480"/>
      <c r="AF20" s="1558">
        <v>19</v>
      </c>
    </row>
    <row r="21" spans="1:32" ht="19.899999999999999" customHeight="1">
      <c r="D21" s="1565"/>
      <c r="E21" s="1591" t="s">
        <v>731</v>
      </c>
      <c r="F21" s="1577" t="s">
        <v>732</v>
      </c>
      <c r="G21" s="1570" t="s">
        <v>565</v>
      </c>
      <c r="H21" s="494"/>
      <c r="I21" s="494"/>
      <c r="J21" s="227"/>
      <c r="K21" s="480"/>
      <c r="AF21" s="1558">
        <v>19</v>
      </c>
    </row>
    <row r="22" spans="1:32" ht="19.899999999999999" customHeight="1">
      <c r="D22" s="1565"/>
      <c r="E22" s="1591" t="s">
        <v>733</v>
      </c>
      <c r="F22" s="1577" t="s">
        <v>734</v>
      </c>
      <c r="G22" s="1570" t="s">
        <v>565</v>
      </c>
      <c r="H22" s="494"/>
      <c r="I22" s="494"/>
      <c r="J22" s="227"/>
      <c r="K22" s="480"/>
      <c r="AF22" s="1558">
        <v>19</v>
      </c>
    </row>
    <row r="23" spans="1:32" ht="24" customHeight="1">
      <c r="D23" s="1565"/>
      <c r="E23" s="1591" t="s">
        <v>316</v>
      </c>
      <c r="F23" s="884" t="s">
        <v>735</v>
      </c>
      <c r="G23" s="1570" t="s">
        <v>565</v>
      </c>
      <c r="H23" s="494"/>
      <c r="I23" s="494"/>
      <c r="J23" s="227" t="s">
        <v>736</v>
      </c>
      <c r="K23" s="480"/>
      <c r="AF23" s="1558">
        <v>23</v>
      </c>
    </row>
    <row r="24" spans="1:32" ht="19.899999999999999" customHeight="1">
      <c r="D24" s="1565"/>
      <c r="E24" s="1591" t="s">
        <v>737</v>
      </c>
      <c r="F24" s="1577" t="s">
        <v>738</v>
      </c>
      <c r="G24" s="1570" t="s">
        <v>565</v>
      </c>
      <c r="H24" s="494"/>
      <c r="I24" s="494"/>
      <c r="J24" s="227"/>
      <c r="K24" s="480"/>
      <c r="AF24" s="1558">
        <v>19</v>
      </c>
    </row>
    <row r="25" spans="1:32" ht="35.65" customHeight="1">
      <c r="D25" s="1565"/>
      <c r="E25" s="1591" t="s">
        <v>739</v>
      </c>
      <c r="F25" s="1577" t="s">
        <v>740</v>
      </c>
      <c r="G25" s="1570" t="s">
        <v>565</v>
      </c>
      <c r="H25" s="494"/>
      <c r="I25" s="494"/>
      <c r="J25" s="227"/>
      <c r="K25" s="480"/>
      <c r="AF25" s="1558">
        <v>34</v>
      </c>
    </row>
    <row r="26" spans="1:32" ht="24" customHeight="1">
      <c r="D26" s="1565"/>
      <c r="E26" s="1591" t="s">
        <v>741</v>
      </c>
      <c r="F26" s="884" t="s">
        <v>742</v>
      </c>
      <c r="G26" s="1570" t="s">
        <v>565</v>
      </c>
      <c r="H26" s="494"/>
      <c r="I26" s="494"/>
      <c r="J26" s="227" t="s">
        <v>743</v>
      </c>
      <c r="K26" s="480"/>
      <c r="AF26" s="1558">
        <v>23</v>
      </c>
    </row>
    <row r="27" spans="1:32" ht="19.899999999999999" customHeight="1">
      <c r="D27" s="1565"/>
      <c r="E27" s="1602" t="s">
        <v>744</v>
      </c>
      <c r="F27" s="1577" t="s">
        <v>745</v>
      </c>
      <c r="G27" s="1581" t="s">
        <v>565</v>
      </c>
      <c r="H27" s="1603"/>
      <c r="I27" s="1603"/>
      <c r="J27" s="227"/>
      <c r="K27" s="480"/>
      <c r="AF27" s="1558">
        <v>19</v>
      </c>
    </row>
    <row r="28" spans="1:32" ht="19.899999999999999" customHeight="1">
      <c r="D28" s="1565"/>
      <c r="E28" s="1602" t="s">
        <v>746</v>
      </c>
      <c r="F28" s="1577" t="s">
        <v>747</v>
      </c>
      <c r="G28" s="1581" t="s">
        <v>565</v>
      </c>
      <c r="H28" s="1603"/>
      <c r="I28" s="1603"/>
      <c r="J28" s="227"/>
      <c r="K28" s="480"/>
      <c r="AF28" s="1558">
        <v>19</v>
      </c>
    </row>
    <row r="29" spans="1:32" ht="19.899999999999999" customHeight="1">
      <c r="D29" s="1565"/>
      <c r="E29" s="1602" t="s">
        <v>748</v>
      </c>
      <c r="F29" s="884" t="s">
        <v>749</v>
      </c>
      <c r="G29" s="1581" t="s">
        <v>565</v>
      </c>
      <c r="H29" s="1603"/>
      <c r="I29" s="1603"/>
      <c r="J29" s="227"/>
      <c r="K29" s="480"/>
      <c r="AF29" s="1558">
        <v>19</v>
      </c>
    </row>
    <row r="30" spans="1:32" ht="19.899999999999999" customHeight="1">
      <c r="D30" s="1565"/>
      <c r="E30" s="1602" t="s">
        <v>750</v>
      </c>
      <c r="F30" s="884" t="s">
        <v>751</v>
      </c>
      <c r="G30" s="1581" t="s">
        <v>565</v>
      </c>
      <c r="H30" s="1603"/>
      <c r="I30" s="1603"/>
      <c r="J30" s="227"/>
      <c r="K30" s="480"/>
      <c r="AF30" s="1558">
        <v>19</v>
      </c>
    </row>
    <row r="31" spans="1:32" ht="19.899999999999999" customHeight="1">
      <c r="D31" s="1565"/>
      <c r="E31" s="1602" t="s">
        <v>752</v>
      </c>
      <c r="F31" s="884" t="s">
        <v>753</v>
      </c>
      <c r="G31" s="1581" t="s">
        <v>565</v>
      </c>
      <c r="H31" s="1603"/>
      <c r="I31" s="1603"/>
      <c r="J31" s="227"/>
      <c r="K31" s="480"/>
      <c r="AF31" s="1558">
        <v>19</v>
      </c>
    </row>
    <row r="32" spans="1:32" s="1293" customFormat="1" ht="35.65" customHeight="1">
      <c r="A32" s="917"/>
      <c r="C32" s="1563"/>
      <c r="D32" s="1565"/>
      <c r="E32" s="1602" t="s">
        <v>754</v>
      </c>
      <c r="F32" s="884" t="s">
        <v>755</v>
      </c>
      <c r="G32" s="1571" t="s">
        <v>565</v>
      </c>
      <c r="H32" s="516">
        <f>SUM(H33:H34)</f>
        <v>0</v>
      </c>
      <c r="I32" s="516">
        <f>SUM(I33:I34)</f>
        <v>0</v>
      </c>
      <c r="J32" s="227" t="s">
        <v>756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590</v>
      </c>
      <c r="G34" s="509"/>
      <c r="H34" s="510"/>
      <c r="I34" s="510"/>
      <c r="J34" s="239" t="s">
        <v>757</v>
      </c>
      <c r="K34" s="480"/>
      <c r="L34" s="1563"/>
      <c r="M34" s="1563"/>
      <c r="R34" s="1563"/>
      <c r="U34" s="481"/>
      <c r="AA34" s="1559"/>
      <c r="AB34" s="1559"/>
      <c r="AC34" s="1559"/>
      <c r="AD34" s="1559"/>
      <c r="AE34" s="1559"/>
      <c r="AF34" s="1087">
        <v>19</v>
      </c>
    </row>
    <row r="35" spans="1:32" ht="60" customHeight="1">
      <c r="D35" s="1565"/>
      <c r="E35" s="1602" t="s">
        <v>758</v>
      </c>
      <c r="F35" s="884" t="s">
        <v>759</v>
      </c>
      <c r="G35" s="1581" t="s">
        <v>565</v>
      </c>
      <c r="H35" s="1603"/>
      <c r="I35" s="1603"/>
      <c r="J35" s="227" t="s">
        <v>760</v>
      </c>
      <c r="K35" s="480"/>
      <c r="AF35" s="1558">
        <v>57</v>
      </c>
    </row>
    <row r="36" spans="1:32" s="1293" customFormat="1" ht="24" customHeight="1">
      <c r="A36" s="919" t="s">
        <v>591</v>
      </c>
      <c r="C36" s="1563"/>
      <c r="D36" s="1565"/>
      <c r="E36" s="1591" t="s">
        <v>90</v>
      </c>
      <c r="F36" s="644" t="s">
        <v>761</v>
      </c>
      <c r="G36" s="1570" t="s">
        <v>565</v>
      </c>
      <c r="H36" s="494"/>
      <c r="I36" s="494"/>
      <c r="J36" s="227" t="s">
        <v>762</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763</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764</v>
      </c>
      <c r="G38" s="1570" t="s">
        <v>565</v>
      </c>
      <c r="H38" s="494"/>
      <c r="I38" s="494"/>
      <c r="J38" s="227" t="s">
        <v>765</v>
      </c>
      <c r="K38" s="480"/>
      <c r="L38" s="1563"/>
      <c r="M38" s="1563"/>
      <c r="R38" s="1563"/>
      <c r="U38" s="481"/>
      <c r="AA38" s="1559"/>
      <c r="AB38" s="1559"/>
      <c r="AC38" s="1559"/>
      <c r="AD38" s="1559"/>
      <c r="AE38" s="1559"/>
      <c r="AF38" s="1087">
        <v>19</v>
      </c>
    </row>
    <row r="39" spans="1:32" s="1293" customFormat="1" ht="24" customHeight="1">
      <c r="A39" s="917"/>
      <c r="C39" s="1563"/>
      <c r="D39" s="512"/>
      <c r="E39" s="1591" t="s">
        <v>766</v>
      </c>
      <c r="F39" s="884" t="s">
        <v>767</v>
      </c>
      <c r="G39" s="1581" t="s">
        <v>565</v>
      </c>
      <c r="H39" s="494"/>
      <c r="I39" s="494"/>
      <c r="J39" s="227" t="s">
        <v>768</v>
      </c>
      <c r="K39" s="480"/>
      <c r="L39" s="1563"/>
      <c r="M39" s="1563"/>
      <c r="R39" s="1563"/>
      <c r="U39" s="481"/>
      <c r="AA39" s="1559"/>
      <c r="AB39" s="1559"/>
      <c r="AC39" s="1559"/>
      <c r="AD39" s="1559"/>
      <c r="AE39" s="1559"/>
      <c r="AF39" s="1087">
        <v>23</v>
      </c>
    </row>
    <row r="40" spans="1:32" s="1293" customFormat="1" ht="24" customHeight="1">
      <c r="A40" s="917"/>
      <c r="C40" s="1563"/>
      <c r="D40" s="1565"/>
      <c r="E40" s="1591" t="s">
        <v>769</v>
      </c>
      <c r="F40" s="1577" t="s">
        <v>770</v>
      </c>
      <c r="G40" s="1570" t="s">
        <v>565</v>
      </c>
      <c r="H40" s="494"/>
      <c r="I40" s="494"/>
      <c r="J40" s="227" t="s">
        <v>771</v>
      </c>
      <c r="K40" s="480"/>
      <c r="L40" s="1563"/>
      <c r="M40" s="1563"/>
      <c r="R40" s="1563"/>
      <c r="U40" s="481"/>
      <c r="AA40" s="1559"/>
      <c r="AB40" s="1559"/>
      <c r="AC40" s="1559"/>
      <c r="AD40" s="1559"/>
      <c r="AE40" s="1559"/>
      <c r="AF40" s="1087">
        <v>23</v>
      </c>
    </row>
    <row r="41" spans="1:32" s="1293" customFormat="1" ht="24" customHeight="1">
      <c r="A41" s="917"/>
      <c r="C41" s="1563"/>
      <c r="D41" s="1565"/>
      <c r="E41" s="1591" t="s">
        <v>772</v>
      </c>
      <c r="F41" s="1577" t="s">
        <v>773</v>
      </c>
      <c r="G41" s="1570" t="s">
        <v>565</v>
      </c>
      <c r="H41" s="494"/>
      <c r="I41" s="494"/>
      <c r="J41" s="227" t="s">
        <v>774</v>
      </c>
      <c r="K41" s="480"/>
      <c r="L41" s="1563"/>
      <c r="M41" s="1563"/>
      <c r="R41" s="1563"/>
      <c r="U41" s="481"/>
      <c r="AA41" s="1559"/>
      <c r="AB41" s="1559"/>
      <c r="AC41" s="1559"/>
      <c r="AD41" s="1559"/>
      <c r="AE41" s="1559"/>
      <c r="AF41" s="1087">
        <v>23</v>
      </c>
    </row>
    <row r="42" spans="1:32" s="1293" customFormat="1" ht="24" customHeight="1">
      <c r="A42" s="917"/>
      <c r="C42" s="1563"/>
      <c r="D42" s="1565"/>
      <c r="E42" s="1591" t="s">
        <v>775</v>
      </c>
      <c r="F42" s="1577" t="s">
        <v>776</v>
      </c>
      <c r="G42" s="1570" t="s">
        <v>565</v>
      </c>
      <c r="H42" s="494"/>
      <c r="I42" s="494"/>
      <c r="J42" s="227" t="s">
        <v>777</v>
      </c>
      <c r="K42" s="480"/>
      <c r="L42" s="1563"/>
      <c r="M42" s="1563"/>
      <c r="R42" s="1563"/>
      <c r="U42" s="481"/>
      <c r="AA42" s="1559"/>
      <c r="AB42" s="1559"/>
      <c r="AC42" s="1559"/>
      <c r="AD42" s="1559"/>
      <c r="AE42" s="1559"/>
      <c r="AF42" s="1087">
        <v>23</v>
      </c>
    </row>
    <row r="43" spans="1:32" s="1293" customFormat="1" ht="35.65" customHeight="1">
      <c r="A43" s="917"/>
      <c r="C43" s="1563" t="s">
        <v>601</v>
      </c>
      <c r="D43" s="1565"/>
      <c r="E43" s="1591" t="s">
        <v>112</v>
      </c>
      <c r="F43" s="644" t="s">
        <v>642</v>
      </c>
      <c r="G43" s="1573" t="s">
        <v>778</v>
      </c>
      <c r="H43" s="338"/>
      <c r="I43" s="338"/>
      <c r="J43" s="227" t="s">
        <v>779</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780</v>
      </c>
      <c r="G44" s="1570" t="s">
        <v>781</v>
      </c>
      <c r="H44" s="482"/>
      <c r="I44" s="482"/>
      <c r="J44" s="227" t="s">
        <v>782</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783</v>
      </c>
      <c r="G45" s="1581" t="s">
        <v>784</v>
      </c>
      <c r="H45" s="482"/>
      <c r="I45" s="482"/>
      <c r="J45" s="227" t="s">
        <v>785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786</v>
      </c>
      <c r="G46" s="1570" t="s">
        <v>603</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565</v>
      </c>
      <c r="H2" s="478"/>
      <c r="I2" s="478"/>
      <c r="J2" s="479" t="s">
        <v>568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32" t="s">
        <v>787</v>
      </c>
      <c r="F6" s="2232"/>
      <c r="G6" s="2232"/>
      <c r="H6" s="2232"/>
      <c r="I6" s="2232"/>
      <c r="J6" s="493"/>
      <c r="AF6" s="1558">
        <v>32</v>
      </c>
    </row>
    <row r="7" spans="1:32" ht="25.15" customHeight="1">
      <c r="E7" s="2204" t="str">
        <f>IF(org=0,"Не определено",org)</f>
        <v>ООО ПКФ "Энергетик-2001"</v>
      </c>
      <c r="F7" s="2204"/>
      <c r="G7" s="2204"/>
      <c r="H7" s="2204"/>
      <c r="I7" s="2204"/>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49" t="s">
        <v>106</v>
      </c>
      <c r="G10" s="2350"/>
      <c r="H10" s="1586" t="str">
        <f>IF(H9="","",INDEX(DIFFERENTIATION_UNMERGE_VD,MATCH(H9,DIFFERENTIATION_ID_DIFF,0)))</f>
        <v/>
      </c>
      <c r="I10" s="1586">
        <f>IF(I9="","",INDEX(DIFFERENTIATION_UNMERGE_VD,MATCH(I9,DIFFERENTIATION_ID_DIFF,0)))</f>
        <v>0</v>
      </c>
      <c r="J10" s="2116"/>
      <c r="AF10" s="1558">
        <v>11</v>
      </c>
    </row>
    <row r="11" spans="1:32" ht="11.45" customHeight="1">
      <c r="E11" s="648"/>
      <c r="F11" s="2349" t="s">
        <v>577</v>
      </c>
      <c r="G11" s="2350"/>
      <c r="H11" s="1586" t="str">
        <f>IF(H9="","",INDEX(DIFFERENTIATION_UNMERGE_AREA,MATCH(H9,DIFFERENTIATION_ID_DIFF,0)))</f>
        <v/>
      </c>
      <c r="I11" s="1586" t="str">
        <f>IF(I9="","",INDEX(DIFFERENTIATION_UNMERGE_AREA,MATCH(I9,DIFFERENTIATION_ID_DIFF,0)))</f>
        <v/>
      </c>
      <c r="J11" s="2116"/>
      <c r="AF11" s="1558">
        <v>11</v>
      </c>
    </row>
    <row r="12" spans="1:32" ht="11.25" hidden="1" customHeight="1">
      <c r="E12" s="1589"/>
      <c r="F12" s="2367" t="s">
        <v>578</v>
      </c>
      <c r="G12" s="2368"/>
      <c r="H12" s="1590" t="str">
        <f>IF(H9="","",INDEX(DIFFERENTIATION_UNMERGE_SYSTEM,MATCH(H9,DIFFERENTIATION_ID_DIFF,0)))</f>
        <v/>
      </c>
      <c r="I12" s="1590" t="str">
        <f>IF(I9="","",INDEX(DIFFERENTIATION_UNMERGE_SYSTEM,MATCH(I9,DIFFERENTIATION_ID_DIFF,0)))</f>
        <v>без дифференциации</v>
      </c>
      <c r="J12" s="2116"/>
      <c r="AF12" s="1558">
        <v>0</v>
      </c>
    </row>
    <row r="13" spans="1:32" ht="11.45" customHeight="1">
      <c r="E13" s="2351" t="s">
        <v>306</v>
      </c>
      <c r="F13" s="2352"/>
      <c r="G13" s="2352"/>
      <c r="H13" s="1583"/>
      <c r="I13" s="1583"/>
      <c r="J13" s="2116"/>
      <c r="AF13" s="1558">
        <v>11</v>
      </c>
    </row>
    <row r="14" spans="1:32" ht="24" customHeight="1">
      <c r="E14" s="1584" t="s">
        <v>88</v>
      </c>
      <c r="F14" s="1587" t="s">
        <v>308</v>
      </c>
      <c r="G14" s="1587" t="s">
        <v>579</v>
      </c>
      <c r="H14" s="1587" t="s">
        <v>309</v>
      </c>
      <c r="I14" s="1587" t="s">
        <v>309</v>
      </c>
      <c r="J14" s="2116"/>
      <c r="AF14" s="1558">
        <v>23</v>
      </c>
    </row>
    <row r="15" spans="1:32" ht="19.899999999999999" customHeight="1">
      <c r="D15" s="1565"/>
      <c r="E15" s="1557" t="s">
        <v>110</v>
      </c>
      <c r="F15" s="644" t="s">
        <v>788</v>
      </c>
      <c r="G15" s="1584" t="s">
        <v>565</v>
      </c>
      <c r="H15" s="494"/>
      <c r="I15" s="494"/>
      <c r="J15" s="227" t="s">
        <v>789</v>
      </c>
      <c r="K15" s="480" t="s">
        <v>643</v>
      </c>
      <c r="AF15" s="1558">
        <v>19</v>
      </c>
    </row>
    <row r="16" spans="1:32" ht="24" customHeight="1">
      <c r="D16" s="1565"/>
      <c r="E16" s="1557" t="s">
        <v>111</v>
      </c>
      <c r="F16" s="1592" t="s">
        <v>790</v>
      </c>
      <c r="G16" s="1584" t="s">
        <v>565</v>
      </c>
      <c r="H16" s="495">
        <f>SUM(H17,H20:H27)</f>
        <v>0</v>
      </c>
      <c r="I16" s="495">
        <f>SUM(I17,I20:I27)</f>
        <v>0</v>
      </c>
      <c r="J16" s="227" t="s">
        <v>791</v>
      </c>
      <c r="K16" s="480" t="s">
        <v>643</v>
      </c>
      <c r="AF16" s="1558">
        <v>23</v>
      </c>
    </row>
    <row r="17" spans="1:32" ht="35.65" customHeight="1">
      <c r="D17" s="1565"/>
      <c r="E17" s="1591" t="s">
        <v>721</v>
      </c>
      <c r="F17" s="1594" t="s">
        <v>792</v>
      </c>
      <c r="G17" s="1581" t="s">
        <v>565</v>
      </c>
      <c r="H17" s="494"/>
      <c r="I17" s="494"/>
      <c r="J17" s="227" t="s">
        <v>793</v>
      </c>
      <c r="K17" s="480"/>
      <c r="AF17" s="1558">
        <v>34</v>
      </c>
    </row>
    <row r="18" spans="1:32" ht="19.899999999999999" customHeight="1">
      <c r="D18" s="1565"/>
      <c r="E18" s="1591" t="s">
        <v>724</v>
      </c>
      <c r="F18" s="1595" t="s">
        <v>794</v>
      </c>
      <c r="G18" s="1581" t="s">
        <v>565</v>
      </c>
      <c r="H18" s="494"/>
      <c r="I18" s="494"/>
      <c r="J18" s="227"/>
      <c r="K18" s="480"/>
      <c r="AF18" s="1558">
        <v>19</v>
      </c>
    </row>
    <row r="19" spans="1:32" ht="24" customHeight="1">
      <c r="D19" s="1565"/>
      <c r="E19" s="1591" t="s">
        <v>727</v>
      </c>
      <c r="F19" s="1595" t="s">
        <v>795</v>
      </c>
      <c r="G19" s="1581" t="s">
        <v>565</v>
      </c>
      <c r="H19" s="494"/>
      <c r="I19" s="494"/>
      <c r="J19" s="227"/>
      <c r="K19" s="480"/>
      <c r="AF19" s="1558">
        <v>23</v>
      </c>
    </row>
    <row r="20" spans="1:32" ht="35.65" customHeight="1">
      <c r="D20" s="1565"/>
      <c r="E20" s="1591" t="s">
        <v>313</v>
      </c>
      <c r="F20" s="1594" t="s">
        <v>796</v>
      </c>
      <c r="G20" s="1581" t="s">
        <v>565</v>
      </c>
      <c r="H20" s="494"/>
      <c r="I20" s="494"/>
      <c r="J20" s="227"/>
      <c r="K20" s="480"/>
      <c r="AF20" s="1558">
        <v>34</v>
      </c>
    </row>
    <row r="21" spans="1:32" ht="48.2" customHeight="1">
      <c r="D21" s="1565"/>
      <c r="E21" s="1591" t="s">
        <v>316</v>
      </c>
      <c r="F21" s="1594" t="s">
        <v>797</v>
      </c>
      <c r="G21" s="1581" t="s">
        <v>565</v>
      </c>
      <c r="H21" s="494"/>
      <c r="I21" s="494"/>
      <c r="J21" s="227"/>
      <c r="K21" s="480"/>
      <c r="AF21" s="1558">
        <v>46</v>
      </c>
    </row>
    <row r="22" spans="1:32" ht="60" customHeight="1">
      <c r="D22" s="1565"/>
      <c r="E22" s="1591" t="s">
        <v>741</v>
      </c>
      <c r="F22" s="1594" t="s">
        <v>798</v>
      </c>
      <c r="G22" s="1581" t="s">
        <v>565</v>
      </c>
      <c r="H22" s="494"/>
      <c r="I22" s="494"/>
      <c r="J22" s="227"/>
      <c r="K22" s="480"/>
      <c r="AF22" s="1558">
        <v>57</v>
      </c>
    </row>
    <row r="23" spans="1:32" ht="35.65" customHeight="1">
      <c r="D23" s="1565"/>
      <c r="E23" s="1591" t="s">
        <v>748</v>
      </c>
      <c r="F23" s="1594" t="s">
        <v>799</v>
      </c>
      <c r="G23" s="1581" t="s">
        <v>565</v>
      </c>
      <c r="H23" s="494"/>
      <c r="I23" s="494"/>
      <c r="J23" s="227"/>
      <c r="K23" s="480"/>
      <c r="AF23" s="1558">
        <v>34</v>
      </c>
    </row>
    <row r="24" spans="1:32" ht="35.65" customHeight="1">
      <c r="D24" s="1565"/>
      <c r="E24" s="1591" t="s">
        <v>750</v>
      </c>
      <c r="F24" s="1594" t="s">
        <v>800</v>
      </c>
      <c r="G24" s="1581" t="s">
        <v>565</v>
      </c>
      <c r="H24" s="494"/>
      <c r="I24" s="494"/>
      <c r="J24" s="227"/>
      <c r="K24" s="480"/>
      <c r="AF24" s="1558">
        <v>34</v>
      </c>
    </row>
    <row r="25" spans="1:32" ht="24" customHeight="1">
      <c r="D25" s="1565"/>
      <c r="E25" s="1591" t="s">
        <v>752</v>
      </c>
      <c r="F25" s="1594" t="s">
        <v>801</v>
      </c>
      <c r="G25" s="1581" t="s">
        <v>565</v>
      </c>
      <c r="H25" s="494"/>
      <c r="I25" s="494"/>
      <c r="J25" s="227"/>
      <c r="K25" s="480"/>
      <c r="AF25" s="1558">
        <v>23</v>
      </c>
    </row>
    <row r="26" spans="1:32" ht="76.5" customHeight="1">
      <c r="D26" s="1565"/>
      <c r="E26" s="1591" t="s">
        <v>754</v>
      </c>
      <c r="F26" s="1594" t="s">
        <v>802</v>
      </c>
      <c r="G26" s="1581" t="s">
        <v>565</v>
      </c>
      <c r="H26" s="494"/>
      <c r="I26" s="494"/>
      <c r="J26" s="227"/>
      <c r="K26" s="480"/>
      <c r="AF26" s="1558">
        <v>73</v>
      </c>
    </row>
    <row r="27" spans="1:32" s="1293" customFormat="1" ht="35.65" customHeight="1">
      <c r="A27" s="917"/>
      <c r="C27" s="1563"/>
      <c r="D27" s="1565"/>
      <c r="E27" s="1556" t="s">
        <v>758</v>
      </c>
      <c r="F27" s="1555" t="s">
        <v>803</v>
      </c>
      <c r="G27" s="1582" t="s">
        <v>565</v>
      </c>
      <c r="H27" s="516">
        <f>SUM(H28:H29)</f>
        <v>0</v>
      </c>
      <c r="I27" s="516">
        <f>SUM(I28:I29)</f>
        <v>0</v>
      </c>
      <c r="J27" s="227" t="s">
        <v>756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590</v>
      </c>
      <c r="G29" s="509"/>
      <c r="H29" s="510"/>
      <c r="I29" s="510"/>
      <c r="J29" s="239" t="s">
        <v>757</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804</v>
      </c>
      <c r="G30" s="1581" t="s">
        <v>565</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805</v>
      </c>
      <c r="G31" s="1581" t="s">
        <v>565</v>
      </c>
      <c r="H31" s="494"/>
      <c r="I31" s="494"/>
      <c r="J31" s="227" t="s">
        <v>806</v>
      </c>
      <c r="K31" s="480"/>
      <c r="L31" s="1563"/>
      <c r="M31" s="1563"/>
      <c r="R31" s="1563"/>
      <c r="U31" s="481"/>
      <c r="AA31" s="1559"/>
      <c r="AB31" s="1559"/>
      <c r="AC31" s="1559"/>
      <c r="AD31" s="1559"/>
      <c r="AE31" s="1559"/>
      <c r="AF31" s="1087">
        <v>34</v>
      </c>
    </row>
    <row r="32" spans="1:32" s="1293" customFormat="1" ht="24" customHeight="1">
      <c r="A32" s="917"/>
      <c r="C32" s="1563"/>
      <c r="D32" s="1565"/>
      <c r="E32" s="1591" t="s">
        <v>766</v>
      </c>
      <c r="F32" s="627" t="s">
        <v>770</v>
      </c>
      <c r="G32" s="1581" t="s">
        <v>565</v>
      </c>
      <c r="H32" s="494"/>
      <c r="I32" s="494"/>
      <c r="J32" s="227" t="s">
        <v>807</v>
      </c>
      <c r="K32" s="480"/>
      <c r="L32" s="1563"/>
      <c r="M32" s="1563"/>
      <c r="R32" s="1563"/>
      <c r="U32" s="481"/>
      <c r="AA32" s="1559"/>
      <c r="AB32" s="1559"/>
      <c r="AC32" s="1559"/>
      <c r="AD32" s="1559"/>
      <c r="AE32" s="1559"/>
      <c r="AF32" s="1087">
        <v>23</v>
      </c>
    </row>
    <row r="33" spans="1:32" s="1293" customFormat="1" ht="24" customHeight="1">
      <c r="A33" s="917"/>
      <c r="C33" s="1563"/>
      <c r="D33" s="1565"/>
      <c r="E33" s="1591" t="s">
        <v>808</v>
      </c>
      <c r="F33" s="627" t="s">
        <v>809</v>
      </c>
      <c r="G33" s="1581" t="s">
        <v>565</v>
      </c>
      <c r="H33" s="494"/>
      <c r="I33" s="494"/>
      <c r="J33" s="227" t="s">
        <v>810</v>
      </c>
      <c r="K33" s="480"/>
      <c r="L33" s="1563"/>
      <c r="M33" s="1563"/>
      <c r="R33" s="1563"/>
      <c r="U33" s="481"/>
      <c r="AA33" s="1559"/>
      <c r="AB33" s="1559"/>
      <c r="AC33" s="1559"/>
      <c r="AD33" s="1559"/>
      <c r="AE33" s="1559"/>
      <c r="AF33" s="1087">
        <v>23</v>
      </c>
    </row>
    <row r="34" spans="1:32" s="1293" customFormat="1" ht="24" customHeight="1">
      <c r="A34" s="917"/>
      <c r="C34" s="1563"/>
      <c r="D34" s="1565"/>
      <c r="E34" s="1591" t="s">
        <v>811</v>
      </c>
      <c r="F34" s="627" t="s">
        <v>776</v>
      </c>
      <c r="G34" s="1581" t="s">
        <v>565</v>
      </c>
      <c r="H34" s="494"/>
      <c r="I34" s="494"/>
      <c r="J34" s="227" t="s">
        <v>812</v>
      </c>
      <c r="K34" s="480"/>
      <c r="L34" s="1563"/>
      <c r="M34" s="1563"/>
      <c r="R34" s="1563"/>
      <c r="U34" s="481"/>
      <c r="AA34" s="1559"/>
      <c r="AB34" s="1559"/>
      <c r="AC34" s="1559"/>
      <c r="AD34" s="1559"/>
      <c r="AE34" s="1559"/>
      <c r="AF34" s="1087">
        <v>23</v>
      </c>
    </row>
    <row r="35" spans="1:32" s="1293" customFormat="1" ht="35.65" customHeight="1">
      <c r="A35" s="917"/>
      <c r="C35" s="1563" t="s">
        <v>601</v>
      </c>
      <c r="D35" s="1565"/>
      <c r="E35" s="1591" t="s">
        <v>112</v>
      </c>
      <c r="F35" s="1588" t="s">
        <v>642</v>
      </c>
      <c r="G35" s="1584" t="s">
        <v>312</v>
      </c>
      <c r="H35" s="338"/>
      <c r="I35" s="338"/>
      <c r="J35" s="227" t="s">
        <v>813</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814</v>
      </c>
      <c r="G36" s="1581" t="s">
        <v>781</v>
      </c>
      <c r="H36" s="482"/>
      <c r="I36" s="482"/>
      <c r="J36" s="227" t="s">
        <v>782</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815</v>
      </c>
      <c r="G37" s="1581" t="s">
        <v>784</v>
      </c>
      <c r="H37" s="482"/>
      <c r="I37" s="482"/>
      <c r="J37" s="227" t="s">
        <v>785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816</v>
      </c>
      <c r="F39" s="2250" t="s">
        <v>817</v>
      </c>
      <c r="G39" s="2250"/>
      <c r="H39" s="306"/>
      <c r="I39" s="306"/>
      <c r="J39" s="306"/>
      <c r="AF39" s="1558">
        <v>26</v>
      </c>
    </row>
    <row r="40" spans="1:32" s="1568" customFormat="1" ht="39.75" customHeight="1">
      <c r="A40" s="917"/>
      <c r="B40" s="1563"/>
      <c r="C40" s="1563"/>
      <c r="D40" s="288"/>
      <c r="F40" s="2250" t="s">
        <v>818</v>
      </c>
      <c r="G40" s="225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0"/>
      <c r="F3" s="2111"/>
      <c r="X3" s="442">
        <v>75</v>
      </c>
    </row>
    <row r="4" spans="1:24" s="1562" customFormat="1" ht="21" customHeight="1">
      <c r="A4" s="881"/>
      <c r="B4" s="448"/>
      <c r="D4" s="2226" t="str">
        <f>IF(org=0,"Не определено",org)</f>
        <v>ООО ПКФ "Энергетик-2001"</v>
      </c>
      <c r="E4" s="2227"/>
      <c r="F4" s="222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49" t="s">
        <v>106</v>
      </c>
      <c r="F7" s="2350"/>
      <c r="G7" s="2369" t="str">
        <f>IF(G6="","",INDEX(DIFFERENTIATION_UNMERGE_VD,MATCH(G6,DIFFERENTIATION_ID_DIFF,0)))</f>
        <v/>
      </c>
      <c r="H7" s="2370"/>
      <c r="I7" s="2369">
        <f>IF(I6="","",INDEX(DIFFERENTIATION_UNMERGE_VD,MATCH(I6,DIFFERENTIATION_ID_DIFF,0)))</f>
        <v>0</v>
      </c>
      <c r="J7" s="2370"/>
      <c r="K7" s="2184"/>
      <c r="L7" s="446"/>
      <c r="X7" s="442">
        <v>11</v>
      </c>
    </row>
    <row r="8" spans="1:24" ht="11.45" customHeight="1">
      <c r="A8" s="641"/>
      <c r="D8" s="648"/>
      <c r="E8" s="2349" t="s">
        <v>577</v>
      </c>
      <c r="F8" s="2350"/>
      <c r="G8" s="2369" t="str">
        <f>IF(G6="","",INDEX(DIFFERENTIATION_UNMERGE_AREA,MATCH(G6,DIFFERENTIATION_ID_DIFF,0)))</f>
        <v/>
      </c>
      <c r="H8" s="2370"/>
      <c r="I8" s="2369" t="str">
        <f>IF(I6="","",INDEX(DIFFERENTIATION_UNMERGE_AREA,MATCH(I6,DIFFERENTIATION_ID_DIFF,0)))</f>
        <v/>
      </c>
      <c r="J8" s="2370"/>
      <c r="K8" s="2189"/>
      <c r="L8" s="446"/>
      <c r="X8" s="442">
        <v>11</v>
      </c>
    </row>
    <row r="9" spans="1:24" ht="11.45" customHeight="1">
      <c r="A9" s="641"/>
      <c r="D9" s="648"/>
      <c r="E9" s="2349" t="s">
        <v>578</v>
      </c>
      <c r="F9" s="2350"/>
      <c r="G9" s="2369" t="str">
        <f>IF(G6="","",INDEX(DIFFERENTIATION_UNMERGE_SYSTEM,MATCH(G6,DIFFERENTIATION_ID_DIFF,0)))</f>
        <v/>
      </c>
      <c r="H9" s="2370"/>
      <c r="I9" s="2369" t="str">
        <f>IF(I6="","",INDEX(DIFFERENTIATION_UNMERGE_SYSTEM,MATCH(I6,DIFFERENTIATION_ID_DIFF,0)))</f>
        <v>без дифференциации</v>
      </c>
      <c r="J9" s="2370"/>
      <c r="K9" s="2189"/>
      <c r="L9" s="446"/>
      <c r="X9" s="442">
        <v>11</v>
      </c>
    </row>
    <row r="10" spans="1:24" s="1562" customFormat="1" ht="11.45" customHeight="1">
      <c r="A10" s="951"/>
      <c r="B10" s="448"/>
      <c r="D10" s="2098" t="s">
        <v>306</v>
      </c>
      <c r="E10" s="2103"/>
      <c r="F10" s="2103"/>
      <c r="G10" s="2103"/>
      <c r="H10" s="2103"/>
      <c r="I10" s="2103"/>
      <c r="J10" s="2097"/>
      <c r="K10" s="2189"/>
      <c r="L10" s="446"/>
      <c r="X10" s="693">
        <v>11</v>
      </c>
    </row>
    <row r="11" spans="1:24" s="1562" customFormat="1" ht="24" customHeight="1">
      <c r="A11" s="2250"/>
      <c r="B11" s="2250"/>
      <c r="C11" s="594"/>
      <c r="D11" s="640" t="s">
        <v>88</v>
      </c>
      <c r="E11" s="642" t="s">
        <v>819</v>
      </c>
      <c r="F11" s="642" t="s">
        <v>579</v>
      </c>
      <c r="G11" s="402" t="s">
        <v>309</v>
      </c>
      <c r="H11" s="402" t="s">
        <v>396</v>
      </c>
      <c r="I11" s="738" t="s">
        <v>309</v>
      </c>
      <c r="J11" s="739" t="s">
        <v>396</v>
      </c>
      <c r="K11" s="2237"/>
      <c r="L11" s="595"/>
      <c r="X11" s="446">
        <v>23</v>
      </c>
    </row>
    <row r="12" spans="1:24" s="1569" customFormat="1" ht="10.5" customHeight="1">
      <c r="A12" s="882"/>
      <c r="D12" s="955" t="s">
        <v>110</v>
      </c>
      <c r="E12" s="955" t="s">
        <v>111</v>
      </c>
      <c r="F12" s="955" t="s">
        <v>90</v>
      </c>
      <c r="G12" s="956" t="str">
        <f>G1&amp;".1"</f>
        <v>4.1</v>
      </c>
      <c r="H12" s="956" t="str">
        <f>G1&amp;".2"</f>
        <v>4.2</v>
      </c>
      <c r="I12" s="956" t="str">
        <f>I1&amp;".1"</f>
        <v>4.1</v>
      </c>
      <c r="J12" s="956" t="str">
        <f>I1&amp;".2"</f>
        <v>4.2</v>
      </c>
      <c r="K12" s="956"/>
      <c r="X12" s="448">
        <v>10</v>
      </c>
    </row>
    <row r="13" spans="1:24" ht="22.5" customHeight="1">
      <c r="A13" s="2371" t="s">
        <v>820</v>
      </c>
      <c r="D13" s="883" t="s">
        <v>110</v>
      </c>
      <c r="E13" s="217" t="s">
        <v>821</v>
      </c>
      <c r="F13" s="597" t="s">
        <v>822</v>
      </c>
      <c r="G13" s="494"/>
      <c r="H13" s="598"/>
      <c r="I13" s="494"/>
      <c r="J13" s="598"/>
      <c r="K13" s="227" t="s">
        <v>823</v>
      </c>
      <c r="L13" s="657"/>
      <c r="X13" s="442">
        <v>0</v>
      </c>
    </row>
    <row r="14" spans="1:24" ht="22.5" customHeight="1">
      <c r="A14" s="2371"/>
      <c r="D14" s="476" t="s">
        <v>111</v>
      </c>
      <c r="E14" s="217" t="s">
        <v>824</v>
      </c>
      <c r="F14" s="597" t="s">
        <v>825</v>
      </c>
      <c r="G14" s="494"/>
      <c r="H14" s="599"/>
      <c r="I14" s="494"/>
      <c r="J14" s="599"/>
      <c r="K14" s="227" t="s">
        <v>826</v>
      </c>
      <c r="L14" s="657"/>
      <c r="X14" s="442">
        <v>0</v>
      </c>
    </row>
    <row r="15" spans="1:24" s="1562" customFormat="1" ht="78.75" customHeight="1">
      <c r="A15" s="2371"/>
      <c r="B15" s="448"/>
      <c r="D15" s="883" t="s">
        <v>90</v>
      </c>
      <c r="E15" s="644" t="s">
        <v>827</v>
      </c>
      <c r="F15" s="880" t="s">
        <v>312</v>
      </c>
      <c r="G15" s="880" t="s">
        <v>312</v>
      </c>
      <c r="H15" s="46"/>
      <c r="I15" s="880" t="s">
        <v>312</v>
      </c>
      <c r="J15" s="46"/>
      <c r="K15" s="227" t="s">
        <v>828</v>
      </c>
      <c r="L15" s="657"/>
      <c r="X15" s="693">
        <v>0</v>
      </c>
    </row>
    <row r="16" spans="1:24" s="1562" customFormat="1" ht="22.5" customHeight="1">
      <c r="A16" s="2371"/>
      <c r="B16" s="448"/>
      <c r="D16" s="883" t="s">
        <v>330</v>
      </c>
      <c r="E16" s="884" t="s">
        <v>829</v>
      </c>
      <c r="F16" s="880" t="s">
        <v>830</v>
      </c>
      <c r="G16" s="748"/>
      <c r="H16" s="46"/>
      <c r="I16" s="748"/>
      <c r="J16" s="46"/>
      <c r="K16" s="227"/>
      <c r="L16" s="657"/>
      <c r="X16" s="693">
        <v>0</v>
      </c>
    </row>
    <row r="17" spans="1:24" s="1562" customFormat="1" ht="22.5" customHeight="1">
      <c r="A17" s="2371"/>
      <c r="B17" s="448"/>
      <c r="D17" s="883" t="s">
        <v>338</v>
      </c>
      <c r="E17" s="884" t="s">
        <v>831</v>
      </c>
      <c r="F17" s="880" t="s">
        <v>832</v>
      </c>
      <c r="G17" s="748"/>
      <c r="H17" s="46"/>
      <c r="I17" s="748"/>
      <c r="J17" s="46"/>
      <c r="K17" s="227"/>
      <c r="L17" s="657"/>
      <c r="X17" s="693">
        <v>0</v>
      </c>
    </row>
    <row r="18" spans="1:24" s="1562" customFormat="1" ht="33.75" customHeight="1">
      <c r="A18" s="2371"/>
      <c r="B18" s="448"/>
      <c r="D18" s="883" t="s">
        <v>340</v>
      </c>
      <c r="E18" s="884" t="s">
        <v>833</v>
      </c>
      <c r="F18" s="880" t="s">
        <v>584</v>
      </c>
      <c r="G18" s="617"/>
      <c r="H18" s="46"/>
      <c r="I18" s="617"/>
      <c r="J18" s="46"/>
      <c r="K18" s="227"/>
      <c r="L18" s="657"/>
      <c r="X18" s="693">
        <v>0</v>
      </c>
    </row>
    <row r="19" spans="1:24" ht="101.25" customHeight="1">
      <c r="A19" s="2371"/>
      <c r="D19" s="883" t="s">
        <v>91</v>
      </c>
      <c r="E19" s="217" t="s">
        <v>834</v>
      </c>
      <c r="F19" s="597" t="s">
        <v>559</v>
      </c>
      <c r="G19" s="600"/>
      <c r="H19" s="599"/>
      <c r="I19" s="885"/>
      <c r="J19" s="599"/>
      <c r="K19" s="227" t="s">
        <v>835</v>
      </c>
      <c r="L19" s="657"/>
      <c r="X19" s="442">
        <v>0</v>
      </c>
    </row>
    <row r="20" spans="1:24" s="1562" customFormat="1" ht="18.75" customHeight="1">
      <c r="A20" s="2371"/>
      <c r="C20" s="886"/>
      <c r="D20" s="883" t="s">
        <v>766</v>
      </c>
      <c r="E20" s="884" t="s">
        <v>836</v>
      </c>
      <c r="F20" s="880" t="s">
        <v>312</v>
      </c>
      <c r="G20" s="880" t="s">
        <v>312</v>
      </c>
      <c r="H20" s="879" t="s">
        <v>312</v>
      </c>
      <c r="I20" s="880" t="s">
        <v>312</v>
      </c>
      <c r="J20" s="879" t="s">
        <v>312</v>
      </c>
      <c r="K20" s="878"/>
      <c r="L20" s="657"/>
      <c r="W20" s="612"/>
      <c r="X20" s="693">
        <v>0</v>
      </c>
    </row>
    <row r="21" spans="1:24" s="1562" customFormat="1" ht="33.75" customHeight="1">
      <c r="A21" s="2371"/>
      <c r="C21" s="886"/>
      <c r="D21" s="883" t="s">
        <v>769</v>
      </c>
      <c r="E21" s="513" t="s">
        <v>837</v>
      </c>
      <c r="F21" s="880" t="s">
        <v>838</v>
      </c>
      <c r="G21" s="617"/>
      <c r="H21" s="46"/>
      <c r="I21" s="617"/>
      <c r="J21" s="46"/>
      <c r="K21" s="878"/>
      <c r="L21" s="657"/>
      <c r="W21" s="612"/>
      <c r="X21" s="693">
        <v>0</v>
      </c>
    </row>
    <row r="22" spans="1:24" s="1562" customFormat="1" ht="33.75" customHeight="1">
      <c r="A22" s="2371"/>
      <c r="C22" s="886"/>
      <c r="D22" s="883" t="s">
        <v>772</v>
      </c>
      <c r="E22" s="513" t="s">
        <v>839</v>
      </c>
      <c r="F22" s="880" t="s">
        <v>840</v>
      </c>
      <c r="G22" s="617"/>
      <c r="H22" s="46"/>
      <c r="I22" s="617"/>
      <c r="J22" s="46"/>
      <c r="K22" s="878"/>
      <c r="L22" s="657"/>
      <c r="W22" s="612"/>
      <c r="X22" s="693">
        <v>0</v>
      </c>
    </row>
    <row r="23" spans="1:24" s="1562" customFormat="1" ht="22.5" customHeight="1">
      <c r="A23" s="2371"/>
      <c r="C23" s="886"/>
      <c r="D23" s="883" t="s">
        <v>808</v>
      </c>
      <c r="E23" s="884" t="s">
        <v>841</v>
      </c>
      <c r="F23" s="880" t="s">
        <v>312</v>
      </c>
      <c r="G23" s="880" t="s">
        <v>312</v>
      </c>
      <c r="H23" s="879" t="s">
        <v>312</v>
      </c>
      <c r="I23" s="880" t="s">
        <v>312</v>
      </c>
      <c r="J23" s="879" t="s">
        <v>312</v>
      </c>
      <c r="K23" s="878"/>
      <c r="L23" s="657"/>
      <c r="W23" s="612"/>
      <c r="X23" s="693">
        <v>0</v>
      </c>
    </row>
    <row r="24" spans="1:24" s="1562" customFormat="1" ht="22.5" customHeight="1">
      <c r="A24" s="2371"/>
      <c r="C24" s="886"/>
      <c r="D24" s="883" t="s">
        <v>842</v>
      </c>
      <c r="E24" s="513" t="s">
        <v>843</v>
      </c>
      <c r="F24" s="880" t="s">
        <v>844</v>
      </c>
      <c r="G24" s="617"/>
      <c r="H24" s="623"/>
      <c r="I24" s="617"/>
      <c r="J24" s="623"/>
      <c r="K24" s="878"/>
      <c r="L24" s="657"/>
      <c r="W24" s="612"/>
      <c r="X24" s="693">
        <v>0</v>
      </c>
    </row>
    <row r="25" spans="1:24" s="1562" customFormat="1" ht="22.5" customHeight="1">
      <c r="A25" s="2371"/>
      <c r="C25" s="886"/>
      <c r="D25" s="883" t="s">
        <v>845</v>
      </c>
      <c r="E25" s="513" t="s">
        <v>846</v>
      </c>
      <c r="F25" s="880" t="s">
        <v>312</v>
      </c>
      <c r="G25" s="880" t="s">
        <v>312</v>
      </c>
      <c r="H25" s="879" t="s">
        <v>312</v>
      </c>
      <c r="I25" s="880" t="s">
        <v>312</v>
      </c>
      <c r="J25" s="879" t="s">
        <v>312</v>
      </c>
      <c r="K25" s="878"/>
      <c r="L25" s="657"/>
      <c r="W25" s="612"/>
      <c r="X25" s="693">
        <v>0</v>
      </c>
    </row>
    <row r="26" spans="1:24" s="1562" customFormat="1" ht="18.75" customHeight="1">
      <c r="A26" s="2371"/>
      <c r="C26" s="886"/>
      <c r="D26" s="883" t="s">
        <v>847</v>
      </c>
      <c r="E26" s="490" t="s">
        <v>848</v>
      </c>
      <c r="F26" s="880" t="s">
        <v>849</v>
      </c>
      <c r="G26" s="617"/>
      <c r="H26" s="623"/>
      <c r="I26" s="617"/>
      <c r="J26" s="623"/>
      <c r="K26" s="878"/>
      <c r="L26" s="657"/>
      <c r="W26" s="612"/>
      <c r="X26" s="693">
        <v>0</v>
      </c>
    </row>
    <row r="27" spans="1:24" s="1562" customFormat="1" ht="18.75" customHeight="1">
      <c r="A27" s="2371"/>
      <c r="C27" s="886"/>
      <c r="D27" s="883" t="s">
        <v>850</v>
      </c>
      <c r="E27" s="490" t="s">
        <v>851</v>
      </c>
      <c r="F27" s="880" t="s">
        <v>852</v>
      </c>
      <c r="G27" s="617"/>
      <c r="H27" s="623"/>
      <c r="I27" s="617"/>
      <c r="J27" s="623"/>
      <c r="K27" s="878"/>
      <c r="L27" s="657"/>
      <c r="W27" s="612"/>
      <c r="X27" s="693">
        <v>0</v>
      </c>
    </row>
    <row r="28" spans="1:24" s="1562" customFormat="1" ht="18.75" customHeight="1">
      <c r="A28" s="2371"/>
      <c r="C28" s="886"/>
      <c r="D28" s="883" t="s">
        <v>853</v>
      </c>
      <c r="E28" s="513" t="s">
        <v>854</v>
      </c>
      <c r="F28" s="880" t="s">
        <v>312</v>
      </c>
      <c r="G28" s="880" t="s">
        <v>312</v>
      </c>
      <c r="H28" s="879" t="s">
        <v>312</v>
      </c>
      <c r="I28" s="880" t="s">
        <v>312</v>
      </c>
      <c r="J28" s="879" t="s">
        <v>312</v>
      </c>
      <c r="K28" s="878"/>
      <c r="L28" s="657"/>
      <c r="W28" s="612"/>
      <c r="X28" s="693">
        <v>0</v>
      </c>
    </row>
    <row r="29" spans="1:24" s="1562" customFormat="1" ht="18.75" customHeight="1">
      <c r="A29" s="2371"/>
      <c r="C29" s="886"/>
      <c r="D29" s="883" t="s">
        <v>855</v>
      </c>
      <c r="E29" s="490" t="s">
        <v>848</v>
      </c>
      <c r="F29" s="880" t="s">
        <v>856</v>
      </c>
      <c r="G29" s="617"/>
      <c r="H29" s="623"/>
      <c r="I29" s="617"/>
      <c r="J29" s="623"/>
      <c r="K29" s="878"/>
      <c r="L29" s="657"/>
      <c r="W29" s="612"/>
      <c r="X29" s="693">
        <v>0</v>
      </c>
    </row>
    <row r="30" spans="1:24" s="1562" customFormat="1" ht="18.75" customHeight="1">
      <c r="A30" s="2371"/>
      <c r="C30" s="886"/>
      <c r="D30" s="883" t="s">
        <v>857</v>
      </c>
      <c r="E30" s="490" t="s">
        <v>858</v>
      </c>
      <c r="F30" s="880" t="s">
        <v>859</v>
      </c>
      <c r="G30" s="617"/>
      <c r="H30" s="623"/>
      <c r="I30" s="617"/>
      <c r="J30" s="623"/>
      <c r="K30" s="878"/>
      <c r="L30" s="657"/>
      <c r="W30" s="612"/>
      <c r="X30" s="693">
        <v>0</v>
      </c>
    </row>
    <row r="31" spans="1:24" ht="126.75" customHeight="1">
      <c r="A31" s="2371"/>
      <c r="D31" s="883" t="s">
        <v>112</v>
      </c>
      <c r="E31" s="217" t="s">
        <v>860</v>
      </c>
      <c r="F31" s="597" t="s">
        <v>571</v>
      </c>
      <c r="G31" s="494"/>
      <c r="H31" s="599"/>
      <c r="I31" s="494"/>
      <c r="J31" s="599"/>
      <c r="K31" s="227" t="s">
        <v>861</v>
      </c>
      <c r="L31" s="657"/>
      <c r="X31" s="442">
        <v>0</v>
      </c>
    </row>
    <row r="32" spans="1:24" ht="56.25" customHeight="1">
      <c r="A32" s="2371"/>
      <c r="D32" s="883" t="s">
        <v>92</v>
      </c>
      <c r="E32" s="217" t="s">
        <v>862</v>
      </c>
      <c r="F32" s="476" t="s">
        <v>832</v>
      </c>
      <c r="G32" s="494"/>
      <c r="H32" s="599"/>
      <c r="I32" s="494"/>
      <c r="J32" s="599"/>
      <c r="K32" s="227" t="s">
        <v>863</v>
      </c>
      <c r="L32" s="657"/>
      <c r="X32" s="442">
        <v>0</v>
      </c>
    </row>
    <row r="33" spans="1:24" ht="11.25" customHeight="1">
      <c r="A33" s="2371"/>
      <c r="E33" s="601"/>
      <c r="F33" s="119"/>
      <c r="G33" s="119"/>
      <c r="H33" s="119"/>
      <c r="I33" s="119"/>
      <c r="J33" s="119"/>
      <c r="K33" s="119"/>
      <c r="X33" s="442">
        <v>0</v>
      </c>
    </row>
    <row r="34" spans="1:24" ht="12.75" customHeight="1">
      <c r="A34" s="2371"/>
      <c r="D34" s="5">
        <v>1</v>
      </c>
      <c r="E34" s="273" t="s">
        <v>864</v>
      </c>
      <c r="X34" s="442">
        <v>0</v>
      </c>
    </row>
    <row r="35" spans="1:24" ht="11.25" customHeight="1">
      <c r="A35" s="2371"/>
      <c r="D35" s="306"/>
      <c r="E35" s="273" t="s">
        <v>865</v>
      </c>
      <c r="X35" s="442">
        <v>0</v>
      </c>
    </row>
    <row r="36" spans="1:24" s="1562" customFormat="1" ht="11.45" customHeight="1">
      <c r="A36" s="963"/>
      <c r="B36" s="455"/>
      <c r="D36" s="964"/>
      <c r="E36" s="965"/>
      <c r="X36" s="446">
        <v>11</v>
      </c>
    </row>
    <row r="37" spans="1:24" s="1562" customFormat="1" ht="22.5" hidden="1" customHeight="1">
      <c r="A37" s="2371" t="s">
        <v>866</v>
      </c>
      <c r="B37" s="448"/>
      <c r="D37" s="883">
        <v>1</v>
      </c>
      <c r="E37" s="644" t="s">
        <v>867</v>
      </c>
      <c r="F37" s="597" t="s">
        <v>822</v>
      </c>
      <c r="G37" s="494"/>
      <c r="H37" s="456"/>
      <c r="I37" s="494"/>
      <c r="J37" s="456"/>
      <c r="K37" s="227" t="s">
        <v>868</v>
      </c>
      <c r="X37" s="693">
        <v>0</v>
      </c>
    </row>
    <row r="38" spans="1:24" s="1562" customFormat="1" ht="22.5" hidden="1" customHeight="1">
      <c r="A38" s="2371"/>
      <c r="B38" s="448"/>
      <c r="D38" s="606" t="s">
        <v>111</v>
      </c>
      <c r="E38" s="962" t="s">
        <v>869</v>
      </c>
      <c r="F38" s="966" t="s">
        <v>559</v>
      </c>
      <c r="G38" s="966" t="s">
        <v>559</v>
      </c>
      <c r="H38" s="960"/>
      <c r="I38" s="966" t="s">
        <v>559</v>
      </c>
      <c r="J38" s="960"/>
      <c r="K38" s="961"/>
      <c r="X38" s="693">
        <v>0</v>
      </c>
    </row>
    <row r="39" spans="1:24" s="1562" customFormat="1" ht="33.75" hidden="1" customHeight="1">
      <c r="A39" s="2371"/>
      <c r="B39" s="448"/>
      <c r="D39" s="602" t="s">
        <v>724</v>
      </c>
      <c r="E39" s="660" t="s">
        <v>870</v>
      </c>
      <c r="F39" s="597" t="s">
        <v>871</v>
      </c>
      <c r="G39" s="605"/>
      <c r="H39" s="953"/>
      <c r="I39" s="605"/>
      <c r="J39" s="953"/>
      <c r="K39" s="227" t="s">
        <v>872</v>
      </c>
      <c r="X39" s="693">
        <v>0</v>
      </c>
    </row>
    <row r="40" spans="1:24" s="1562" customFormat="1" ht="33.75" hidden="1" customHeight="1">
      <c r="A40" s="2371"/>
      <c r="B40" s="448"/>
      <c r="D40" s="602" t="s">
        <v>727</v>
      </c>
      <c r="E40" s="660" t="s">
        <v>873</v>
      </c>
      <c r="F40" s="957" t="s">
        <v>874</v>
      </c>
      <c r="G40" s="678"/>
      <c r="H40" s="953"/>
      <c r="I40" s="678"/>
      <c r="J40" s="953"/>
      <c r="K40" s="227" t="s">
        <v>875</v>
      </c>
      <c r="X40" s="693">
        <v>0</v>
      </c>
    </row>
    <row r="41" spans="1:24" s="1562" customFormat="1" ht="22.5" hidden="1" customHeight="1">
      <c r="A41" s="2371"/>
      <c r="B41" s="448"/>
      <c r="D41" s="602" t="s">
        <v>90</v>
      </c>
      <c r="E41" s="659" t="s">
        <v>876</v>
      </c>
      <c r="F41" s="597" t="s">
        <v>559</v>
      </c>
      <c r="G41" s="597" t="s">
        <v>559</v>
      </c>
      <c r="H41" s="954"/>
      <c r="I41" s="597" t="s">
        <v>559</v>
      </c>
      <c r="J41" s="954"/>
      <c r="K41" s="240"/>
      <c r="X41" s="693">
        <v>0</v>
      </c>
    </row>
    <row r="42" spans="1:24" s="1562" customFormat="1" ht="45" hidden="1" customHeight="1">
      <c r="A42" s="2371"/>
      <c r="B42" s="448"/>
      <c r="D42" s="602" t="s">
        <v>330</v>
      </c>
      <c r="E42" s="660" t="s">
        <v>877</v>
      </c>
      <c r="F42" s="597" t="s">
        <v>571</v>
      </c>
      <c r="G42" s="494"/>
      <c r="H42" s="954"/>
      <c r="I42" s="494"/>
      <c r="J42" s="954"/>
      <c r="K42" s="240" t="s">
        <v>878</v>
      </c>
      <c r="X42" s="693">
        <v>0</v>
      </c>
    </row>
    <row r="43" spans="1:24" s="1562" customFormat="1" ht="45" hidden="1" customHeight="1">
      <c r="A43" s="2371"/>
      <c r="B43" s="448"/>
      <c r="D43" s="602" t="s">
        <v>338</v>
      </c>
      <c r="E43" s="604" t="s">
        <v>879</v>
      </c>
      <c r="F43" s="958" t="s">
        <v>571</v>
      </c>
      <c r="G43" s="679"/>
      <c r="H43" s="953"/>
      <c r="I43" s="679"/>
      <c r="J43" s="953"/>
      <c r="K43" s="240" t="s">
        <v>880</v>
      </c>
      <c r="X43" s="693">
        <v>0</v>
      </c>
    </row>
    <row r="44" spans="1:24" s="1562" customFormat="1" ht="11.25" hidden="1" customHeight="1">
      <c r="A44" s="2371"/>
      <c r="B44" s="448"/>
      <c r="D44" s="602" t="s">
        <v>91</v>
      </c>
      <c r="E44" s="603" t="s">
        <v>881</v>
      </c>
      <c r="F44" s="597" t="s">
        <v>871</v>
      </c>
      <c r="G44" s="605"/>
      <c r="H44" s="953"/>
      <c r="I44" s="605"/>
      <c r="J44" s="953"/>
      <c r="K44" s="227"/>
      <c r="X44" s="693">
        <v>0</v>
      </c>
    </row>
    <row r="45" spans="1:24" s="1562" customFormat="1" ht="11.25" hidden="1" customHeight="1">
      <c r="A45" s="2371"/>
      <c r="B45" s="448"/>
      <c r="D45" s="602" t="s">
        <v>766</v>
      </c>
      <c r="E45" s="604" t="s">
        <v>882</v>
      </c>
      <c r="F45" s="597" t="s">
        <v>871</v>
      </c>
      <c r="G45" s="605"/>
      <c r="H45" s="953"/>
      <c r="I45" s="605"/>
      <c r="J45" s="953"/>
      <c r="K45" s="227"/>
      <c r="X45" s="693">
        <v>0</v>
      </c>
    </row>
    <row r="46" spans="1:24" s="1562" customFormat="1" ht="11.25" hidden="1" customHeight="1">
      <c r="A46" s="2371"/>
      <c r="B46" s="448"/>
      <c r="D46" s="602" t="s">
        <v>808</v>
      </c>
      <c r="E46" s="604" t="s">
        <v>883</v>
      </c>
      <c r="F46" s="597" t="s">
        <v>871</v>
      </c>
      <c r="G46" s="605"/>
      <c r="H46" s="953"/>
      <c r="I46" s="605"/>
      <c r="J46" s="953"/>
      <c r="K46" s="227"/>
      <c r="X46" s="693">
        <v>0</v>
      </c>
    </row>
    <row r="47" spans="1:24" s="1562" customFormat="1" ht="11.25" hidden="1" customHeight="1">
      <c r="A47" s="2371"/>
      <c r="B47" s="448"/>
      <c r="D47" s="602" t="s">
        <v>811</v>
      </c>
      <c r="E47" s="604" t="s">
        <v>884</v>
      </c>
      <c r="F47" s="597" t="s">
        <v>871</v>
      </c>
      <c r="G47" s="605"/>
      <c r="H47" s="953"/>
      <c r="I47" s="605"/>
      <c r="J47" s="953"/>
      <c r="K47" s="227"/>
      <c r="X47" s="693">
        <v>0</v>
      </c>
    </row>
    <row r="48" spans="1:24" s="1562" customFormat="1" ht="11.25" hidden="1" customHeight="1">
      <c r="A48" s="2371"/>
      <c r="B48" s="448"/>
      <c r="D48" s="602" t="s">
        <v>885</v>
      </c>
      <c r="E48" s="608" t="s">
        <v>886</v>
      </c>
      <c r="F48" s="597" t="s">
        <v>871</v>
      </c>
      <c r="G48" s="605"/>
      <c r="H48" s="953"/>
      <c r="I48" s="605"/>
      <c r="J48" s="953"/>
      <c r="K48" s="227"/>
      <c r="X48" s="693">
        <v>0</v>
      </c>
    </row>
    <row r="49" spans="1:24" s="1562" customFormat="1" ht="11.25" hidden="1" customHeight="1">
      <c r="A49" s="2371"/>
      <c r="B49" s="448"/>
      <c r="D49" s="602" t="s">
        <v>887</v>
      </c>
      <c r="E49" s="608" t="s">
        <v>888</v>
      </c>
      <c r="F49" s="597" t="s">
        <v>871</v>
      </c>
      <c r="G49" s="605"/>
      <c r="H49" s="953"/>
      <c r="I49" s="605"/>
      <c r="J49" s="953"/>
      <c r="K49" s="227"/>
      <c r="X49" s="693">
        <v>0</v>
      </c>
    </row>
    <row r="50" spans="1:24" s="1562" customFormat="1" ht="11.25" hidden="1" customHeight="1">
      <c r="A50" s="2371"/>
      <c r="B50" s="448"/>
      <c r="D50" s="602" t="s">
        <v>889</v>
      </c>
      <c r="E50" s="604" t="s">
        <v>890</v>
      </c>
      <c r="F50" s="597" t="s">
        <v>871</v>
      </c>
      <c r="G50" s="605"/>
      <c r="H50" s="953"/>
      <c r="I50" s="605"/>
      <c r="J50" s="953"/>
      <c r="K50" s="227"/>
      <c r="X50" s="693">
        <v>0</v>
      </c>
    </row>
    <row r="51" spans="1:24" s="1562" customFormat="1" ht="11.25" hidden="1" customHeight="1">
      <c r="A51" s="2371"/>
      <c r="B51" s="448"/>
      <c r="D51" s="602" t="s">
        <v>891</v>
      </c>
      <c r="E51" s="604" t="s">
        <v>892</v>
      </c>
      <c r="F51" s="597" t="s">
        <v>871</v>
      </c>
      <c r="G51" s="605"/>
      <c r="H51" s="953"/>
      <c r="I51" s="605"/>
      <c r="J51" s="953"/>
      <c r="K51" s="227"/>
      <c r="X51" s="693">
        <v>0</v>
      </c>
    </row>
    <row r="52" spans="1:24" s="1562" customFormat="1" ht="45" hidden="1" customHeight="1">
      <c r="A52" s="2371"/>
      <c r="B52" s="448"/>
      <c r="D52" s="602" t="s">
        <v>112</v>
      </c>
      <c r="E52" s="603" t="s">
        <v>893</v>
      </c>
      <c r="F52" s="597" t="s">
        <v>871</v>
      </c>
      <c r="G52" s="605"/>
      <c r="H52" s="953"/>
      <c r="I52" s="605"/>
      <c r="J52" s="953"/>
      <c r="K52" s="227"/>
      <c r="X52" s="693">
        <v>0</v>
      </c>
    </row>
    <row r="53" spans="1:24" s="1562" customFormat="1" ht="11.25" hidden="1" customHeight="1">
      <c r="A53" s="2371"/>
      <c r="B53" s="448"/>
      <c r="D53" s="602" t="s">
        <v>319</v>
      </c>
      <c r="E53" s="604" t="s">
        <v>882</v>
      </c>
      <c r="F53" s="597" t="s">
        <v>871</v>
      </c>
      <c r="G53" s="605"/>
      <c r="H53" s="953"/>
      <c r="I53" s="605"/>
      <c r="J53" s="953"/>
      <c r="K53" s="227"/>
      <c r="X53" s="693">
        <v>0</v>
      </c>
    </row>
    <row r="54" spans="1:24" s="1562" customFormat="1" ht="11.25" hidden="1" customHeight="1">
      <c r="A54" s="2371"/>
      <c r="B54" s="448"/>
      <c r="D54" s="602" t="s">
        <v>894</v>
      </c>
      <c r="E54" s="604" t="s">
        <v>883</v>
      </c>
      <c r="F54" s="597" t="s">
        <v>871</v>
      </c>
      <c r="G54" s="605"/>
      <c r="H54" s="953"/>
      <c r="I54" s="605"/>
      <c r="J54" s="953"/>
      <c r="K54" s="227"/>
      <c r="X54" s="693">
        <v>0</v>
      </c>
    </row>
    <row r="55" spans="1:24" s="1562" customFormat="1" ht="11.25" hidden="1" customHeight="1">
      <c r="A55" s="2371"/>
      <c r="B55" s="448"/>
      <c r="D55" s="602" t="s">
        <v>895</v>
      </c>
      <c r="E55" s="604" t="s">
        <v>884</v>
      </c>
      <c r="F55" s="597" t="s">
        <v>871</v>
      </c>
      <c r="G55" s="605"/>
      <c r="H55" s="953"/>
      <c r="I55" s="605"/>
      <c r="J55" s="953"/>
      <c r="K55" s="227"/>
      <c r="X55" s="693">
        <v>0</v>
      </c>
    </row>
    <row r="56" spans="1:24" s="1562" customFormat="1" ht="11.25" hidden="1" customHeight="1">
      <c r="A56" s="2371"/>
      <c r="B56" s="448"/>
      <c r="D56" s="602" t="s">
        <v>896</v>
      </c>
      <c r="E56" s="608" t="s">
        <v>886</v>
      </c>
      <c r="F56" s="597" t="s">
        <v>871</v>
      </c>
      <c r="G56" s="605"/>
      <c r="H56" s="953"/>
      <c r="I56" s="605"/>
      <c r="J56" s="953"/>
      <c r="K56" s="227"/>
      <c r="X56" s="693">
        <v>0</v>
      </c>
    </row>
    <row r="57" spans="1:24" s="1562" customFormat="1" ht="11.25" hidden="1" customHeight="1">
      <c r="A57" s="2371"/>
      <c r="B57" s="448"/>
      <c r="D57" s="602" t="s">
        <v>897</v>
      </c>
      <c r="E57" s="608" t="s">
        <v>888</v>
      </c>
      <c r="F57" s="597" t="s">
        <v>871</v>
      </c>
      <c r="G57" s="605"/>
      <c r="H57" s="953"/>
      <c r="I57" s="605"/>
      <c r="J57" s="953"/>
      <c r="K57" s="227"/>
      <c r="X57" s="693">
        <v>0</v>
      </c>
    </row>
    <row r="58" spans="1:24" s="1562" customFormat="1" ht="11.25" hidden="1" customHeight="1">
      <c r="A58" s="2371"/>
      <c r="B58" s="448"/>
      <c r="D58" s="602" t="s">
        <v>898</v>
      </c>
      <c r="E58" s="604" t="s">
        <v>890</v>
      </c>
      <c r="F58" s="597" t="s">
        <v>871</v>
      </c>
      <c r="G58" s="605"/>
      <c r="H58" s="953"/>
      <c r="I58" s="605"/>
      <c r="J58" s="953"/>
      <c r="K58" s="227"/>
      <c r="X58" s="693">
        <v>0</v>
      </c>
    </row>
    <row r="59" spans="1:24" s="1562" customFormat="1" ht="11.25" hidden="1" customHeight="1">
      <c r="A59" s="2371"/>
      <c r="B59" s="448"/>
      <c r="D59" s="602" t="s">
        <v>899</v>
      </c>
      <c r="E59" s="604" t="s">
        <v>892</v>
      </c>
      <c r="F59" s="597" t="s">
        <v>871</v>
      </c>
      <c r="G59" s="605"/>
      <c r="H59" s="953"/>
      <c r="I59" s="605"/>
      <c r="J59" s="953"/>
      <c r="K59" s="227"/>
      <c r="X59" s="693">
        <v>0</v>
      </c>
    </row>
    <row r="60" spans="1:24" s="1562" customFormat="1" ht="33.75" hidden="1" customHeight="1">
      <c r="A60" s="2371"/>
      <c r="B60" s="448"/>
      <c r="D60" s="602" t="s">
        <v>92</v>
      </c>
      <c r="E60" s="603" t="s">
        <v>900</v>
      </c>
      <c r="F60" s="658" t="s">
        <v>571</v>
      </c>
      <c r="G60" s="679"/>
      <c r="H60" s="953"/>
      <c r="I60" s="679"/>
      <c r="J60" s="953"/>
      <c r="K60" s="240" t="s">
        <v>901</v>
      </c>
      <c r="X60" s="693">
        <v>0</v>
      </c>
    </row>
    <row r="61" spans="1:24" s="1562" customFormat="1" ht="33.75" hidden="1" customHeight="1">
      <c r="A61" s="2371"/>
      <c r="B61" s="448"/>
      <c r="D61" s="602" t="s">
        <v>93</v>
      </c>
      <c r="E61" s="603" t="s">
        <v>902</v>
      </c>
      <c r="F61" s="663" t="s">
        <v>832</v>
      </c>
      <c r="G61" s="605"/>
      <c r="H61" s="953"/>
      <c r="I61" s="605"/>
      <c r="J61" s="953"/>
      <c r="K61" s="227"/>
      <c r="X61" s="693">
        <v>0</v>
      </c>
    </row>
    <row r="62" spans="1:24" s="1562" customFormat="1" ht="22.5" hidden="1" customHeight="1">
      <c r="A62" s="2371"/>
      <c r="B62" s="448" t="s">
        <v>601</v>
      </c>
      <c r="D62" s="602" t="s">
        <v>113</v>
      </c>
      <c r="E62" s="603" t="s">
        <v>903</v>
      </c>
      <c r="F62" s="663" t="s">
        <v>312</v>
      </c>
      <c r="G62" s="319"/>
      <c r="H62" s="953"/>
      <c r="I62" s="319"/>
      <c r="J62" s="953"/>
      <c r="K62" s="227" t="s">
        <v>644</v>
      </c>
      <c r="X62" s="693">
        <v>0</v>
      </c>
    </row>
    <row r="63" spans="1:24" s="1562" customFormat="1" ht="45" hidden="1" customHeight="1">
      <c r="A63" s="2371"/>
      <c r="B63" s="448" t="s">
        <v>601</v>
      </c>
      <c r="D63" s="602" t="s">
        <v>904</v>
      </c>
      <c r="E63" s="604" t="s">
        <v>905</v>
      </c>
      <c r="F63" s="658" t="s">
        <v>312</v>
      </c>
      <c r="G63" s="319"/>
      <c r="H63" s="953"/>
      <c r="I63" s="319"/>
      <c r="J63" s="953"/>
      <c r="K63" s="227" t="s">
        <v>644</v>
      </c>
      <c r="X63" s="693">
        <v>0</v>
      </c>
    </row>
    <row r="64" spans="1:24" s="1562" customFormat="1" ht="11.45" customHeight="1">
      <c r="A64" s="963"/>
      <c r="B64" s="455"/>
      <c r="D64" s="964"/>
      <c r="E64" s="965"/>
      <c r="X64" s="446">
        <v>11</v>
      </c>
    </row>
    <row r="65" spans="1:24" s="1562" customFormat="1" ht="22.5" hidden="1" customHeight="1">
      <c r="A65" s="2371" t="s">
        <v>906</v>
      </c>
      <c r="B65" s="448"/>
      <c r="D65" s="602">
        <v>1</v>
      </c>
      <c r="E65" s="681" t="s">
        <v>907</v>
      </c>
      <c r="F65" s="677" t="s">
        <v>822</v>
      </c>
      <c r="G65" s="678"/>
      <c r="H65" s="959"/>
      <c r="I65" s="678"/>
      <c r="J65" s="959"/>
      <c r="K65" s="239" t="s">
        <v>908</v>
      </c>
      <c r="X65" s="693">
        <v>0</v>
      </c>
    </row>
    <row r="66" spans="1:24" s="1562" customFormat="1" ht="56.25" hidden="1" customHeight="1">
      <c r="A66" s="2371"/>
      <c r="B66" s="448"/>
      <c r="D66" s="680" t="s">
        <v>111</v>
      </c>
      <c r="E66" s="644" t="s">
        <v>909</v>
      </c>
      <c r="F66" s="597" t="s">
        <v>559</v>
      </c>
      <c r="G66" s="597" t="s">
        <v>559</v>
      </c>
      <c r="H66" s="456"/>
      <c r="I66" s="597" t="s">
        <v>559</v>
      </c>
      <c r="J66" s="456"/>
      <c r="K66" s="227"/>
      <c r="X66" s="693">
        <v>0</v>
      </c>
    </row>
    <row r="67" spans="1:24" s="1562" customFormat="1" ht="33.75" hidden="1" customHeight="1">
      <c r="A67" s="2371"/>
      <c r="B67" s="448"/>
      <c r="D67" s="680" t="s">
        <v>721</v>
      </c>
      <c r="E67" s="884" t="s">
        <v>910</v>
      </c>
      <c r="F67" s="597" t="s">
        <v>874</v>
      </c>
      <c r="G67" s="664"/>
      <c r="H67" s="456"/>
      <c r="I67" s="664"/>
      <c r="J67" s="456"/>
      <c r="K67" s="227"/>
      <c r="X67" s="693">
        <v>0</v>
      </c>
    </row>
    <row r="68" spans="1:24" s="1562" customFormat="1" ht="22.5" hidden="1" customHeight="1">
      <c r="A68" s="2371"/>
      <c r="B68" s="448"/>
      <c r="D68" s="680" t="s">
        <v>313</v>
      </c>
      <c r="E68" s="884" t="s">
        <v>911</v>
      </c>
      <c r="F68" s="597" t="s">
        <v>874</v>
      </c>
      <c r="G68" s="664"/>
      <c r="H68" s="456"/>
      <c r="I68" s="664"/>
      <c r="J68" s="456"/>
      <c r="K68" s="227"/>
      <c r="X68" s="693">
        <v>0</v>
      </c>
    </row>
    <row r="69" spans="1:24" s="1562" customFormat="1" ht="22.5" hidden="1" customHeight="1">
      <c r="A69" s="2371"/>
      <c r="B69" s="448"/>
      <c r="D69" s="680" t="s">
        <v>316</v>
      </c>
      <c r="E69" s="884" t="s">
        <v>912</v>
      </c>
      <c r="F69" s="658" t="s">
        <v>571</v>
      </c>
      <c r="G69" s="679"/>
      <c r="H69" s="456"/>
      <c r="I69" s="679"/>
      <c r="J69" s="456"/>
      <c r="K69" s="227"/>
      <c r="X69" s="693">
        <v>0</v>
      </c>
    </row>
    <row r="70" spans="1:24" s="1562" customFormat="1" ht="22.5" hidden="1" customHeight="1">
      <c r="A70" s="2371"/>
      <c r="B70" s="448"/>
      <c r="D70" s="680" t="s">
        <v>741</v>
      </c>
      <c r="E70" s="884" t="s">
        <v>913</v>
      </c>
      <c r="F70" s="658" t="s">
        <v>571</v>
      </c>
      <c r="G70" s="679"/>
      <c r="H70" s="456"/>
      <c r="I70" s="679"/>
      <c r="J70" s="456"/>
      <c r="K70" s="227"/>
      <c r="X70" s="693">
        <v>0</v>
      </c>
    </row>
    <row r="71" spans="1:24" s="1562" customFormat="1" ht="22.5" hidden="1" customHeight="1">
      <c r="A71" s="2371"/>
      <c r="B71" s="448"/>
      <c r="D71" s="602" t="s">
        <v>90</v>
      </c>
      <c r="E71" s="603" t="s">
        <v>914</v>
      </c>
      <c r="F71" s="597" t="s">
        <v>874</v>
      </c>
      <c r="G71" s="494"/>
      <c r="H71" s="960"/>
      <c r="I71" s="494"/>
      <c r="J71" s="960"/>
      <c r="K71" s="240"/>
      <c r="X71" s="693">
        <v>0</v>
      </c>
    </row>
    <row r="72" spans="1:24" s="1562" customFormat="1" ht="56.25" hidden="1" customHeight="1">
      <c r="A72" s="2371"/>
      <c r="B72" s="448"/>
      <c r="D72" s="602" t="s">
        <v>91</v>
      </c>
      <c r="E72" s="603" t="s">
        <v>915</v>
      </c>
      <c r="F72" s="658" t="s">
        <v>571</v>
      </c>
      <c r="G72" s="679"/>
      <c r="H72" s="953"/>
      <c r="I72" s="679"/>
      <c r="J72" s="953"/>
      <c r="K72" s="240"/>
      <c r="X72" s="693">
        <v>0</v>
      </c>
    </row>
    <row r="73" spans="1:24" s="1562" customFormat="1" ht="33.75" hidden="1" customHeight="1">
      <c r="A73" s="2371"/>
      <c r="B73" s="448"/>
      <c r="D73" s="602" t="s">
        <v>112</v>
      </c>
      <c r="E73" s="603" t="s">
        <v>916</v>
      </c>
      <c r="F73" s="663" t="s">
        <v>832</v>
      </c>
      <c r="G73" s="605"/>
      <c r="H73" s="953"/>
      <c r="I73" s="605"/>
      <c r="J73" s="953"/>
      <c r="K73" s="227"/>
      <c r="X73" s="693">
        <v>0</v>
      </c>
    </row>
    <row r="74" spans="1:24" s="1562" customFormat="1" ht="22.5" hidden="1" customHeight="1">
      <c r="A74" s="2371"/>
      <c r="B74" s="448" t="s">
        <v>601</v>
      </c>
      <c r="D74" s="602" t="s">
        <v>92</v>
      </c>
      <c r="E74" s="603" t="s">
        <v>917</v>
      </c>
      <c r="F74" s="663" t="s">
        <v>312</v>
      </c>
      <c r="G74" s="319"/>
      <c r="H74" s="953"/>
      <c r="I74" s="319"/>
      <c r="J74" s="953"/>
      <c r="K74" s="227" t="s">
        <v>644</v>
      </c>
      <c r="X74" s="693">
        <v>0</v>
      </c>
    </row>
    <row r="75" spans="1:24" s="1562" customFormat="1" ht="45" hidden="1" customHeight="1">
      <c r="A75" s="2371"/>
      <c r="B75" s="448" t="s">
        <v>601</v>
      </c>
      <c r="D75" s="602" t="s">
        <v>665</v>
      </c>
      <c r="E75" s="604" t="s">
        <v>918</v>
      </c>
      <c r="F75" s="658" t="s">
        <v>312</v>
      </c>
      <c r="G75" s="319"/>
      <c r="H75" s="953"/>
      <c r="I75" s="319"/>
      <c r="J75" s="953"/>
      <c r="K75" s="227" t="s">
        <v>644</v>
      </c>
      <c r="X75" s="693">
        <v>0</v>
      </c>
    </row>
    <row r="76" spans="1:24" s="1562" customFormat="1" ht="11.45" customHeight="1">
      <c r="A76" s="963"/>
      <c r="B76" s="455"/>
      <c r="D76" s="964"/>
      <c r="E76" s="965"/>
      <c r="X76" s="446">
        <v>11</v>
      </c>
    </row>
    <row r="77" spans="1:24" s="1562" customFormat="1" ht="11.25" hidden="1" customHeight="1">
      <c r="A77" s="2371" t="s">
        <v>919</v>
      </c>
      <c r="B77" s="448"/>
      <c r="D77" s="602">
        <v>1</v>
      </c>
      <c r="E77" s="603" t="s">
        <v>920</v>
      </c>
      <c r="F77" s="658" t="s">
        <v>822</v>
      </c>
      <c r="G77" s="661"/>
      <c r="H77" s="953"/>
      <c r="I77" s="661"/>
      <c r="J77" s="953"/>
      <c r="K77" s="227" t="s">
        <v>921</v>
      </c>
      <c r="X77" s="693">
        <v>0</v>
      </c>
    </row>
    <row r="78" spans="1:24" s="1562" customFormat="1" ht="11.25" hidden="1" customHeight="1">
      <c r="A78" s="2371"/>
      <c r="B78" s="448"/>
      <c r="D78" s="602" t="s">
        <v>111</v>
      </c>
      <c r="E78" s="603" t="s">
        <v>922</v>
      </c>
      <c r="F78" s="658" t="s">
        <v>822</v>
      </c>
      <c r="G78" s="661"/>
      <c r="H78" s="953"/>
      <c r="I78" s="661"/>
      <c r="J78" s="953"/>
      <c r="K78" s="227" t="s">
        <v>923</v>
      </c>
      <c r="X78" s="693">
        <v>0</v>
      </c>
    </row>
    <row r="79" spans="1:24" s="1562" customFormat="1" ht="22.5" hidden="1" customHeight="1">
      <c r="A79" s="2371"/>
      <c r="B79" s="448"/>
      <c r="D79" s="602" t="s">
        <v>90</v>
      </c>
      <c r="E79" s="659" t="s">
        <v>924</v>
      </c>
      <c r="F79" s="597" t="s">
        <v>871</v>
      </c>
      <c r="G79" s="661"/>
      <c r="H79" s="953"/>
      <c r="I79" s="661"/>
      <c r="J79" s="953"/>
      <c r="K79" s="227" t="s">
        <v>925</v>
      </c>
      <c r="X79" s="693">
        <v>0</v>
      </c>
    </row>
    <row r="80" spans="1:24" s="1562" customFormat="1" ht="11.25" hidden="1" customHeight="1">
      <c r="A80" s="2371"/>
      <c r="B80" s="448"/>
      <c r="D80" s="602" t="s">
        <v>330</v>
      </c>
      <c r="E80" s="660" t="s">
        <v>926</v>
      </c>
      <c r="F80" s="597" t="s">
        <v>871</v>
      </c>
      <c r="G80" s="661"/>
      <c r="H80" s="953"/>
      <c r="I80" s="661"/>
      <c r="J80" s="953"/>
      <c r="K80" s="227"/>
      <c r="X80" s="693">
        <v>0</v>
      </c>
    </row>
    <row r="81" spans="1:24" s="1562" customFormat="1" ht="11.25" hidden="1" customHeight="1">
      <c r="A81" s="2371"/>
      <c r="B81" s="448"/>
      <c r="D81" s="602" t="s">
        <v>338</v>
      </c>
      <c r="E81" s="660" t="s">
        <v>927</v>
      </c>
      <c r="F81" s="597" t="s">
        <v>871</v>
      </c>
      <c r="G81" s="661"/>
      <c r="H81" s="953"/>
      <c r="I81" s="661"/>
      <c r="J81" s="953"/>
      <c r="K81" s="227"/>
      <c r="X81" s="693">
        <v>0</v>
      </c>
    </row>
    <row r="82" spans="1:24" s="1562" customFormat="1" ht="11.25" hidden="1" customHeight="1">
      <c r="A82" s="2371"/>
      <c r="B82" s="448"/>
      <c r="D82" s="602" t="s">
        <v>340</v>
      </c>
      <c r="E82" s="660" t="s">
        <v>928</v>
      </c>
      <c r="F82" s="597" t="s">
        <v>871</v>
      </c>
      <c r="G82" s="661"/>
      <c r="H82" s="953"/>
      <c r="I82" s="661"/>
      <c r="J82" s="953"/>
      <c r="K82" s="227"/>
      <c r="X82" s="693">
        <v>0</v>
      </c>
    </row>
    <row r="83" spans="1:24" s="1562" customFormat="1" ht="11.25" hidden="1" customHeight="1">
      <c r="A83" s="2371"/>
      <c r="B83" s="448"/>
      <c r="D83" s="602" t="s">
        <v>342</v>
      </c>
      <c r="E83" s="660" t="s">
        <v>929</v>
      </c>
      <c r="F83" s="597" t="s">
        <v>871</v>
      </c>
      <c r="G83" s="661"/>
      <c r="H83" s="953"/>
      <c r="I83" s="661"/>
      <c r="J83" s="953"/>
      <c r="K83" s="227"/>
      <c r="X83" s="693">
        <v>0</v>
      </c>
    </row>
    <row r="84" spans="1:24" s="1562" customFormat="1" ht="11.25" hidden="1" customHeight="1">
      <c r="A84" s="2371"/>
      <c r="B84" s="448"/>
      <c r="D84" s="602" t="s">
        <v>930</v>
      </c>
      <c r="E84" s="660" t="s">
        <v>931</v>
      </c>
      <c r="F84" s="597" t="s">
        <v>871</v>
      </c>
      <c r="G84" s="661"/>
      <c r="H84" s="953"/>
      <c r="I84" s="661"/>
      <c r="J84" s="953"/>
      <c r="K84" s="227"/>
      <c r="X84" s="693">
        <v>0</v>
      </c>
    </row>
    <row r="85" spans="1:24" s="1562" customFormat="1" ht="11.25" hidden="1" customHeight="1">
      <c r="A85" s="2371"/>
      <c r="B85" s="448"/>
      <c r="D85" s="602" t="s">
        <v>932</v>
      </c>
      <c r="E85" s="660" t="s">
        <v>933</v>
      </c>
      <c r="F85" s="597" t="s">
        <v>871</v>
      </c>
      <c r="G85" s="661"/>
      <c r="H85" s="953"/>
      <c r="I85" s="661"/>
      <c r="J85" s="953"/>
      <c r="K85" s="227"/>
      <c r="X85" s="693">
        <v>0</v>
      </c>
    </row>
    <row r="86" spans="1:24" s="1562" customFormat="1" ht="11.25" hidden="1" customHeight="1">
      <c r="A86" s="2371"/>
      <c r="B86" s="448"/>
      <c r="D86" s="602" t="s">
        <v>934</v>
      </c>
      <c r="E86" s="660" t="s">
        <v>935</v>
      </c>
      <c r="F86" s="597" t="s">
        <v>871</v>
      </c>
      <c r="G86" s="661"/>
      <c r="H86" s="953"/>
      <c r="I86" s="661"/>
      <c r="J86" s="953"/>
      <c r="K86" s="227"/>
      <c r="X86" s="693">
        <v>0</v>
      </c>
    </row>
    <row r="87" spans="1:24" s="1562" customFormat="1" ht="45" hidden="1" customHeight="1">
      <c r="A87" s="2371"/>
      <c r="B87" s="448"/>
      <c r="D87" s="602" t="s">
        <v>91</v>
      </c>
      <c r="E87" s="603" t="s">
        <v>936</v>
      </c>
      <c r="F87" s="597" t="s">
        <v>871</v>
      </c>
      <c r="G87" s="661"/>
      <c r="H87" s="953"/>
      <c r="I87" s="661"/>
      <c r="J87" s="953"/>
      <c r="K87" s="227" t="s">
        <v>937</v>
      </c>
      <c r="X87" s="693">
        <v>0</v>
      </c>
    </row>
    <row r="88" spans="1:24" s="1562" customFormat="1" ht="11.25" hidden="1" customHeight="1">
      <c r="A88" s="2371"/>
      <c r="B88" s="448"/>
      <c r="D88" s="602" t="s">
        <v>766</v>
      </c>
      <c r="E88" s="660" t="s">
        <v>926</v>
      </c>
      <c r="F88" s="597" t="s">
        <v>871</v>
      </c>
      <c r="G88" s="661"/>
      <c r="H88" s="953"/>
      <c r="I88" s="661"/>
      <c r="J88" s="953"/>
      <c r="K88" s="227"/>
      <c r="X88" s="693">
        <v>0</v>
      </c>
    </row>
    <row r="89" spans="1:24" s="1562" customFormat="1" ht="11.25" hidden="1" customHeight="1">
      <c r="A89" s="2371"/>
      <c r="B89" s="448"/>
      <c r="D89" s="602" t="s">
        <v>808</v>
      </c>
      <c r="E89" s="660" t="s">
        <v>927</v>
      </c>
      <c r="F89" s="597" t="s">
        <v>871</v>
      </c>
      <c r="G89" s="661"/>
      <c r="H89" s="953"/>
      <c r="I89" s="661"/>
      <c r="J89" s="953"/>
      <c r="K89" s="227"/>
      <c r="X89" s="693">
        <v>0</v>
      </c>
    </row>
    <row r="90" spans="1:24" s="1562" customFormat="1" ht="11.25" hidden="1" customHeight="1">
      <c r="A90" s="2371"/>
      <c r="B90" s="448"/>
      <c r="D90" s="602" t="s">
        <v>811</v>
      </c>
      <c r="E90" s="660" t="s">
        <v>928</v>
      </c>
      <c r="F90" s="597" t="s">
        <v>871</v>
      </c>
      <c r="G90" s="661"/>
      <c r="H90" s="953"/>
      <c r="I90" s="661"/>
      <c r="J90" s="953"/>
      <c r="K90" s="227"/>
      <c r="X90" s="693">
        <v>0</v>
      </c>
    </row>
    <row r="91" spans="1:24" s="1562" customFormat="1" ht="11.25" hidden="1" customHeight="1">
      <c r="A91" s="2371"/>
      <c r="B91" s="448"/>
      <c r="D91" s="602" t="s">
        <v>889</v>
      </c>
      <c r="E91" s="660" t="s">
        <v>929</v>
      </c>
      <c r="F91" s="597" t="s">
        <v>871</v>
      </c>
      <c r="G91" s="661"/>
      <c r="H91" s="953"/>
      <c r="I91" s="661"/>
      <c r="J91" s="953"/>
      <c r="K91" s="227"/>
      <c r="X91" s="693">
        <v>0</v>
      </c>
    </row>
    <row r="92" spans="1:24" s="1562" customFormat="1" ht="11.25" hidden="1" customHeight="1">
      <c r="A92" s="2371"/>
      <c r="B92" s="448"/>
      <c r="D92" s="602" t="s">
        <v>891</v>
      </c>
      <c r="E92" s="660" t="s">
        <v>931</v>
      </c>
      <c r="F92" s="597" t="s">
        <v>871</v>
      </c>
      <c r="G92" s="661"/>
      <c r="H92" s="953"/>
      <c r="I92" s="661"/>
      <c r="J92" s="953"/>
      <c r="K92" s="227"/>
      <c r="X92" s="693">
        <v>0</v>
      </c>
    </row>
    <row r="93" spans="1:24" s="1562" customFormat="1" ht="11.25" hidden="1" customHeight="1">
      <c r="A93" s="2371"/>
      <c r="B93" s="448"/>
      <c r="D93" s="602" t="s">
        <v>938</v>
      </c>
      <c r="E93" s="660" t="s">
        <v>933</v>
      </c>
      <c r="F93" s="597" t="s">
        <v>871</v>
      </c>
      <c r="G93" s="661"/>
      <c r="H93" s="953"/>
      <c r="I93" s="661"/>
      <c r="J93" s="953"/>
      <c r="K93" s="227"/>
      <c r="X93" s="693">
        <v>0</v>
      </c>
    </row>
    <row r="94" spans="1:24" s="1562" customFormat="1" ht="11.25" hidden="1" customHeight="1">
      <c r="A94" s="2371"/>
      <c r="B94" s="448"/>
      <c r="D94" s="602" t="s">
        <v>939</v>
      </c>
      <c r="E94" s="660" t="s">
        <v>935</v>
      </c>
      <c r="F94" s="597" t="s">
        <v>871</v>
      </c>
      <c r="G94" s="661"/>
      <c r="H94" s="953"/>
      <c r="I94" s="661"/>
      <c r="J94" s="953"/>
      <c r="K94" s="227"/>
      <c r="X94" s="693">
        <v>0</v>
      </c>
    </row>
    <row r="95" spans="1:24" s="1562" customFormat="1" ht="24.75" hidden="1" customHeight="1">
      <c r="A95" s="2371"/>
      <c r="B95" s="448"/>
      <c r="D95" s="602" t="s">
        <v>112</v>
      </c>
      <c r="E95" s="603" t="s">
        <v>940</v>
      </c>
      <c r="F95" s="662" t="s">
        <v>571</v>
      </c>
      <c r="G95" s="664"/>
      <c r="H95" s="953"/>
      <c r="I95" s="664"/>
      <c r="J95" s="953"/>
      <c r="K95" s="227" t="s">
        <v>941</v>
      </c>
      <c r="X95" s="693">
        <v>0</v>
      </c>
    </row>
    <row r="96" spans="1:24" s="1562" customFormat="1" ht="33.75" hidden="1" customHeight="1">
      <c r="A96" s="2371"/>
      <c r="B96" s="448"/>
      <c r="D96" s="602" t="s">
        <v>92</v>
      </c>
      <c r="E96" s="603" t="s">
        <v>942</v>
      </c>
      <c r="F96" s="663" t="s">
        <v>832</v>
      </c>
      <c r="G96" s="665"/>
      <c r="H96" s="953"/>
      <c r="I96" s="665"/>
      <c r="J96" s="953"/>
      <c r="K96" s="227"/>
      <c r="X96" s="693">
        <v>0</v>
      </c>
    </row>
    <row r="97" spans="1:24" s="1562" customFormat="1" ht="22.5" hidden="1" customHeight="1">
      <c r="A97" s="2371"/>
      <c r="B97" s="448" t="s">
        <v>601</v>
      </c>
      <c r="D97" s="602" t="s">
        <v>93</v>
      </c>
      <c r="E97" s="603" t="s">
        <v>943</v>
      </c>
      <c r="F97" s="663" t="s">
        <v>312</v>
      </c>
      <c r="G97" s="322"/>
      <c r="H97" s="953"/>
      <c r="I97" s="322"/>
      <c r="J97" s="953"/>
      <c r="K97" s="227" t="s">
        <v>644</v>
      </c>
      <c r="X97" s="693">
        <v>0</v>
      </c>
    </row>
    <row r="98" spans="1:24" s="1562" customFormat="1" ht="45" hidden="1" customHeight="1">
      <c r="A98" s="2371"/>
      <c r="B98" s="448" t="s">
        <v>601</v>
      </c>
      <c r="D98" s="602" t="s">
        <v>944</v>
      </c>
      <c r="E98" s="604" t="s">
        <v>945</v>
      </c>
      <c r="F98" s="658" t="s">
        <v>312</v>
      </c>
      <c r="G98" s="322"/>
      <c r="H98" s="953"/>
      <c r="I98" s="322"/>
      <c r="J98" s="953"/>
      <c r="K98" s="227" t="s">
        <v>644</v>
      </c>
      <c r="X98" s="693">
        <v>0</v>
      </c>
    </row>
    <row r="99" spans="1:24" s="1562" customFormat="1" ht="95.25" hidden="1" customHeight="1">
      <c r="A99" s="2371"/>
      <c r="B99" s="448" t="s">
        <v>601</v>
      </c>
      <c r="D99" s="602" t="s">
        <v>113</v>
      </c>
      <c r="E99" s="603" t="s">
        <v>946</v>
      </c>
      <c r="F99" s="658" t="s">
        <v>312</v>
      </c>
      <c r="G99" s="322"/>
      <c r="H99" s="953"/>
      <c r="I99" s="322"/>
      <c r="J99" s="953"/>
      <c r="K99" s="227" t="s">
        <v>644</v>
      </c>
      <c r="X99" s="693">
        <v>0</v>
      </c>
    </row>
    <row r="100" spans="1:24" s="1562" customFormat="1" ht="22.5" hidden="1" customHeight="1">
      <c r="A100" s="2371"/>
      <c r="B100" s="448" t="s">
        <v>601</v>
      </c>
      <c r="D100" s="602" t="s">
        <v>149</v>
      </c>
      <c r="E100" s="603" t="s">
        <v>947</v>
      </c>
      <c r="F100" s="658" t="s">
        <v>312</v>
      </c>
      <c r="G100" s="322"/>
      <c r="H100" s="953"/>
      <c r="I100" s="322"/>
      <c r="J100" s="953"/>
      <c r="K100" s="227" t="s">
        <v>644</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9"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10"/>
      <c r="F4" s="2110"/>
      <c r="G4" s="2110"/>
      <c r="H4" s="2110"/>
      <c r="I4" s="2111"/>
      <c r="J4" s="521"/>
      <c r="K4" s="521"/>
      <c r="L4" s="521"/>
      <c r="M4" s="521"/>
      <c r="AM4" s="520">
        <v>34</v>
      </c>
    </row>
    <row r="5" spans="1:39" s="526" customFormat="1" ht="14.65" customHeight="1">
      <c r="A5" s="522"/>
      <c r="B5" s="522"/>
      <c r="C5" s="522"/>
      <c r="D5" s="2112" t="str">
        <f>IF(org=0,"Не определено",org)</f>
        <v>ООО ПКФ "Энергетик-2001"</v>
      </c>
      <c r="E5" s="2113"/>
      <c r="F5" s="2113"/>
      <c r="G5" s="2113"/>
      <c r="H5" s="2113"/>
      <c r="I5" s="2114"/>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01"/>
      <c r="B6" s="2101"/>
      <c r="C6" s="2101"/>
      <c r="D6" s="2101"/>
      <c r="E6" s="2101"/>
      <c r="F6" s="2101"/>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0"/>
      <c r="G7" s="2120"/>
      <c r="H7" s="2120"/>
      <c r="I7" s="2120"/>
      <c r="J7" s="2120"/>
      <c r="K7" s="2120"/>
      <c r="L7" s="2120"/>
      <c r="M7" s="2120"/>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15"/>
      <c r="B9" s="261"/>
      <c r="C9" s="261"/>
      <c r="D9" s="2116" t="s">
        <v>106</v>
      </c>
      <c r="E9" s="2116"/>
      <c r="F9" s="2117" t="s">
        <v>107</v>
      </c>
      <c r="G9" s="2118"/>
      <c r="H9" s="2118"/>
      <c r="I9" s="2118"/>
      <c r="J9" s="2121" t="s">
        <v>108</v>
      </c>
      <c r="K9" s="2121"/>
      <c r="L9" s="2121"/>
      <c r="M9" s="2121"/>
      <c r="AM9" s="520">
        <v>18</v>
      </c>
    </row>
    <row r="10" spans="1:39" ht="24" customHeight="1">
      <c r="A10" s="2115"/>
      <c r="B10" s="529"/>
      <c r="C10" s="462"/>
      <c r="D10" s="460" t="s">
        <v>88</v>
      </c>
      <c r="E10" s="460" t="s">
        <v>89</v>
      </c>
      <c r="F10" s="460" t="s">
        <v>109</v>
      </c>
      <c r="G10" s="2122" t="s">
        <v>88</v>
      </c>
      <c r="H10" s="2123"/>
      <c r="I10" s="460" t="s">
        <v>89</v>
      </c>
      <c r="J10" s="460" t="s">
        <v>109</v>
      </c>
      <c r="K10" s="2122" t="s">
        <v>88</v>
      </c>
      <c r="L10" s="2123"/>
      <c r="M10" s="460" t="s">
        <v>89</v>
      </c>
      <c r="N10" s="1554"/>
      <c r="AM10" s="520">
        <v>23</v>
      </c>
    </row>
    <row r="11" spans="1:39" s="1778" customFormat="1" ht="11.25" hidden="1" customHeight="1">
      <c r="A11" s="530"/>
      <c r="B11" s="530"/>
      <c r="C11" s="530"/>
      <c r="D11" s="531" t="s">
        <v>110</v>
      </c>
      <c r="E11" s="531" t="s">
        <v>111</v>
      </c>
      <c r="F11" s="531" t="s">
        <v>90</v>
      </c>
      <c r="G11" s="2105" t="s">
        <v>91</v>
      </c>
      <c r="H11" s="2106"/>
      <c r="I11" s="531" t="s">
        <v>112</v>
      </c>
      <c r="J11" s="531" t="s">
        <v>92</v>
      </c>
      <c r="K11" s="2107" t="s">
        <v>93</v>
      </c>
      <c r="L11" s="2108"/>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27" t="s">
        <v>110</v>
      </c>
      <c r="E13" s="2128"/>
      <c r="F13" s="2131" t="s">
        <v>66</v>
      </c>
      <c r="G13" s="2132"/>
      <c r="H13" s="2133">
        <v>1</v>
      </c>
      <c r="I13" s="2124" t="str">
        <f>IF(U13="","",INDEX(TERRITORY_MR_LIST,MATCH(U13,TERRITORY_LIST_ID,0)))</f>
        <v/>
      </c>
      <c r="J13" s="2126"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27"/>
      <c r="E14" s="2129"/>
      <c r="F14" s="2126"/>
      <c r="G14" s="2132"/>
      <c r="H14" s="2133"/>
      <c r="I14" s="2125"/>
      <c r="J14" s="2126"/>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27"/>
      <c r="E15" s="2130"/>
      <c r="F15" s="2126"/>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72"/>
      <c r="C3" s="2373" t="s">
        <v>451</v>
      </c>
      <c r="D3" s="626" t="str">
        <f>B3&amp;".1"</f>
        <v>.1</v>
      </c>
      <c r="E3" s="627" t="s">
        <v>948</v>
      </c>
      <c r="F3" s="628" t="s">
        <v>312</v>
      </c>
      <c r="G3" s="623"/>
      <c r="H3" s="338"/>
      <c r="I3" s="623"/>
      <c r="J3" s="338"/>
      <c r="K3" s="227" t="s">
        <v>949</v>
      </c>
      <c r="V3" s="442">
        <v>0</v>
      </c>
    </row>
    <row r="4" spans="1:22" ht="15" hidden="1" customHeight="1">
      <c r="A4" s="442"/>
      <c r="B4" s="2372"/>
      <c r="C4" s="2373"/>
      <c r="D4" s="626" t="str">
        <f>B3&amp;".2"</f>
        <v>.2</v>
      </c>
      <c r="E4" s="627" t="s">
        <v>950</v>
      </c>
      <c r="F4" s="628" t="s">
        <v>312</v>
      </c>
      <c r="G4" s="1664" t="s">
        <v>28</v>
      </c>
      <c r="H4" s="338"/>
      <c r="I4" s="1664" t="s">
        <v>28</v>
      </c>
      <c r="J4" s="338"/>
      <c r="K4" s="227" t="s">
        <v>951</v>
      </c>
      <c r="V4" s="442">
        <v>0</v>
      </c>
    </row>
    <row r="5" spans="1:22" s="1293" customFormat="1" ht="15" hidden="1" customHeight="1">
      <c r="C5" s="609"/>
      <c r="U5" s="357"/>
      <c r="V5" s="354">
        <v>0</v>
      </c>
    </row>
    <row r="6" spans="1:22" ht="22.5" hidden="1" customHeight="1">
      <c r="A6" s="442"/>
      <c r="B6" s="2372"/>
      <c r="C6" s="2373" t="s">
        <v>451</v>
      </c>
      <c r="D6" s="626" t="str">
        <f>B6&amp;".1"</f>
        <v>.1</v>
      </c>
      <c r="E6" s="627" t="s">
        <v>952</v>
      </c>
      <c r="F6" s="628" t="s">
        <v>312</v>
      </c>
      <c r="G6" s="623"/>
      <c r="H6" s="338"/>
      <c r="I6" s="623"/>
      <c r="J6" s="338"/>
      <c r="K6" s="227" t="s">
        <v>953</v>
      </c>
      <c r="V6" s="442">
        <v>0</v>
      </c>
    </row>
    <row r="7" spans="1:22" ht="15" hidden="1" customHeight="1">
      <c r="A7" s="442"/>
      <c r="B7" s="2372"/>
      <c r="C7" s="2373"/>
      <c r="D7" s="626" t="str">
        <f>B6&amp;".2"</f>
        <v>.2</v>
      </c>
      <c r="E7" s="627" t="s">
        <v>950</v>
      </c>
      <c r="F7" s="628" t="s">
        <v>312</v>
      </c>
      <c r="G7" s="1664" t="s">
        <v>28</v>
      </c>
      <c r="H7" s="338"/>
      <c r="I7" s="1664" t="s">
        <v>28</v>
      </c>
      <c r="J7" s="338"/>
      <c r="K7" s="227" t="s">
        <v>951</v>
      </c>
      <c r="V7" s="442">
        <v>0</v>
      </c>
    </row>
    <row r="8" spans="1:22" s="1293" customFormat="1" ht="15" hidden="1" customHeight="1">
      <c r="C8" s="609"/>
      <c r="U8" s="357"/>
      <c r="V8" s="354">
        <v>0</v>
      </c>
    </row>
    <row r="9" spans="1:22" ht="22.5" hidden="1" customHeight="1">
      <c r="A9" s="442"/>
      <c r="B9" s="2372"/>
      <c r="C9" s="2373" t="s">
        <v>451</v>
      </c>
      <c r="D9" s="626" t="str">
        <f>B9&amp;".1"</f>
        <v>.1</v>
      </c>
      <c r="E9" s="627" t="s">
        <v>954</v>
      </c>
      <c r="F9" s="628" t="s">
        <v>312</v>
      </c>
      <c r="G9" s="634" t="s">
        <v>28</v>
      </c>
      <c r="H9" s="338" t="s">
        <v>28</v>
      </c>
      <c r="I9" s="634" t="s">
        <v>28</v>
      </c>
      <c r="J9" s="338" t="s">
        <v>28</v>
      </c>
      <c r="K9" s="227"/>
      <c r="V9" s="442">
        <v>0</v>
      </c>
    </row>
    <row r="10" spans="1:22" ht="15" hidden="1" customHeight="1">
      <c r="A10" s="442"/>
      <c r="B10" s="2372"/>
      <c r="C10" s="2373"/>
      <c r="D10" s="626" t="str">
        <f>B9&amp;".2"</f>
        <v>.2</v>
      </c>
      <c r="E10" s="627" t="s">
        <v>955</v>
      </c>
      <c r="F10" s="628" t="s">
        <v>312</v>
      </c>
      <c r="G10" s="1658" t="s">
        <v>28</v>
      </c>
      <c r="H10" s="338" t="s">
        <v>28</v>
      </c>
      <c r="I10" s="1658" t="s">
        <v>28</v>
      </c>
      <c r="J10" s="338" t="s">
        <v>28</v>
      </c>
      <c r="K10" s="227" t="s">
        <v>956</v>
      </c>
      <c r="V10" s="442">
        <v>0</v>
      </c>
    </row>
    <row r="11" spans="1:22" ht="15" hidden="1" customHeight="1">
      <c r="A11" s="442"/>
      <c r="B11" s="2372"/>
      <c r="C11" s="2373"/>
      <c r="D11" s="626" t="str">
        <f>B9&amp;".3"</f>
        <v>.3</v>
      </c>
      <c r="E11" s="627" t="s">
        <v>957</v>
      </c>
      <c r="F11" s="628" t="s">
        <v>312</v>
      </c>
      <c r="G11" s="1658" t="s">
        <v>28</v>
      </c>
      <c r="H11" s="338" t="s">
        <v>28</v>
      </c>
      <c r="I11" s="1658" t="s">
        <v>28</v>
      </c>
      <c r="J11" s="338" t="s">
        <v>28</v>
      </c>
      <c r="K11" s="227" t="s">
        <v>958</v>
      </c>
      <c r="V11" s="442">
        <v>0</v>
      </c>
    </row>
    <row r="12" spans="1:22" s="1293" customFormat="1" ht="15" hidden="1" customHeight="1">
      <c r="C12" s="609"/>
      <c r="U12" s="357"/>
      <c r="V12" s="354">
        <v>0</v>
      </c>
    </row>
    <row r="13" spans="1:22" ht="33.75" hidden="1" customHeight="1">
      <c r="A13" s="442"/>
      <c r="B13" s="2372"/>
      <c r="C13" s="2373" t="s">
        <v>451</v>
      </c>
      <c r="D13" s="626" t="str">
        <f>B13&amp;".1"</f>
        <v>.1</v>
      </c>
      <c r="E13" s="627" t="s">
        <v>959</v>
      </c>
      <c r="F13" s="628" t="s">
        <v>312</v>
      </c>
      <c r="G13" s="634" t="s">
        <v>28</v>
      </c>
      <c r="H13" s="338" t="s">
        <v>28</v>
      </c>
      <c r="I13" s="634" t="s">
        <v>28</v>
      </c>
      <c r="J13" s="338" t="s">
        <v>28</v>
      </c>
      <c r="K13" s="227" t="s">
        <v>960</v>
      </c>
      <c r="V13" s="442">
        <v>0</v>
      </c>
    </row>
    <row r="14" spans="1:22" ht="15" hidden="1" customHeight="1">
      <c r="B14" s="2372"/>
      <c r="C14" s="2373"/>
      <c r="D14" s="626" t="str">
        <f>B13&amp;".2"</f>
        <v>.2</v>
      </c>
      <c r="E14" s="627" t="s">
        <v>961</v>
      </c>
      <c r="F14" s="628" t="s">
        <v>312</v>
      </c>
      <c r="G14" s="1658" t="s">
        <v>28</v>
      </c>
      <c r="H14" s="338" t="s">
        <v>28</v>
      </c>
      <c r="I14" s="1658" t="s">
        <v>28</v>
      </c>
      <c r="J14" s="338" t="s">
        <v>28</v>
      </c>
      <c r="K14" s="227" t="s">
        <v>962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2"/>
      <c r="F22" s="2232"/>
      <c r="G22" s="2232"/>
      <c r="H22" s="2232"/>
      <c r="I22" s="2232"/>
      <c r="J22" s="613"/>
      <c r="K22" s="474"/>
      <c r="V22" s="442">
        <v>22</v>
      </c>
    </row>
    <row r="23" spans="1:22" ht="15.75" customHeight="1">
      <c r="C23" s="114"/>
      <c r="D23" s="2204" t="str">
        <f>IF(org=0,"Не определено",org)</f>
        <v>ООО ПКФ "Энергетик-2001"</v>
      </c>
      <c r="E23" s="2204"/>
      <c r="F23" s="2204"/>
      <c r="G23" s="2204"/>
      <c r="H23" s="2204"/>
      <c r="I23" s="2204"/>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49" t="s">
        <v>106</v>
      </c>
      <c r="F26" s="2350"/>
      <c r="G26" s="2374" t="str">
        <f>IF(G25="","",INDEX(DIFFERENTIATION_UNMERGE_VD,MATCH(G25,DIFFERENTIATION_ID_DIFF,0)))</f>
        <v/>
      </c>
      <c r="H26" s="2375"/>
      <c r="I26" s="2374">
        <f>IF(I25="","",INDEX(DIFFERENTIATION_UNMERGE_VD,MATCH(I25,DIFFERENTIATION_ID_DIFF,0)))</f>
        <v>0</v>
      </c>
      <c r="J26" s="2375"/>
      <c r="K26" s="2184" t="s">
        <v>307</v>
      </c>
      <c r="V26" s="442">
        <v>15</v>
      </c>
    </row>
    <row r="27" spans="1:22" s="1562" customFormat="1" ht="15.75" customHeight="1">
      <c r="A27" s="694"/>
      <c r="C27" s="114"/>
      <c r="D27" s="648"/>
      <c r="E27" s="2349" t="s">
        <v>577</v>
      </c>
      <c r="F27" s="2350"/>
      <c r="G27" s="2374" t="str">
        <f>IF(G25="","",INDEX(DIFFERENTIATION_UNMERGE_AREA,MATCH(G25,DIFFERENTIATION_ID_DIFF,0)))</f>
        <v/>
      </c>
      <c r="H27" s="2375"/>
      <c r="I27" s="2374" t="str">
        <f>IF(I25="","",INDEX(DIFFERENTIATION_UNMERGE_AREA,MATCH(I25,DIFFERENTIATION_ID_DIFF,0)))</f>
        <v/>
      </c>
      <c r="J27" s="2375"/>
      <c r="K27" s="2188"/>
      <c r="U27" s="612"/>
      <c r="V27" s="693">
        <v>15</v>
      </c>
    </row>
    <row r="28" spans="1:22" s="1562" customFormat="1" ht="15.75" customHeight="1">
      <c r="A28" s="694"/>
      <c r="C28" s="114"/>
      <c r="D28" s="648"/>
      <c r="E28" s="2349" t="s">
        <v>578</v>
      </c>
      <c r="F28" s="2350"/>
      <c r="G28" s="2374" t="str">
        <f>IF(G25="","",INDEX(DIFFERENTIATION_UNMERGE_SYSTEM,MATCH(G25,DIFFERENTIATION_ID_DIFF,0)))</f>
        <v/>
      </c>
      <c r="H28" s="2375"/>
      <c r="I28" s="2374" t="str">
        <f>IF(I25="","",INDEX(DIFFERENTIATION_UNMERGE_SYSTEM,MATCH(I25,DIFFERENTIATION_ID_DIFF,0)))</f>
        <v>без дифференциации</v>
      </c>
      <c r="J28" s="2375"/>
      <c r="K28" s="2188"/>
      <c r="U28" s="612"/>
      <c r="V28" s="693">
        <v>15</v>
      </c>
    </row>
    <row r="29" spans="1:22" s="1562" customFormat="1" ht="15.75" customHeight="1">
      <c r="A29" s="694"/>
      <c r="C29" s="114"/>
      <c r="D29" s="2351" t="s">
        <v>306</v>
      </c>
      <c r="E29" s="2352"/>
      <c r="F29" s="2352"/>
      <c r="G29" s="817"/>
      <c r="H29" s="817"/>
      <c r="I29" s="817"/>
      <c r="J29" s="818"/>
      <c r="K29" s="2188"/>
      <c r="U29" s="612"/>
      <c r="V29" s="693">
        <v>15</v>
      </c>
    </row>
    <row r="30" spans="1:22" ht="35.65" customHeight="1">
      <c r="C30" s="114"/>
      <c r="D30" s="696" t="s">
        <v>88</v>
      </c>
      <c r="E30" s="695" t="s">
        <v>308</v>
      </c>
      <c r="F30" s="695" t="s">
        <v>579</v>
      </c>
      <c r="G30" s="739" t="s">
        <v>309</v>
      </c>
      <c r="H30" s="738" t="s">
        <v>396</v>
      </c>
      <c r="I30" s="621" t="s">
        <v>309</v>
      </c>
      <c r="J30" s="402" t="s">
        <v>396</v>
      </c>
      <c r="K30" s="2191"/>
      <c r="V30" s="442">
        <v>34</v>
      </c>
    </row>
    <row r="31" spans="1:22" ht="15" hidden="1" customHeight="1">
      <c r="C31" s="114"/>
      <c r="D31" s="530"/>
      <c r="E31" s="530"/>
      <c r="F31" s="530"/>
      <c r="G31" s="596"/>
      <c r="H31" s="596"/>
      <c r="I31" s="596"/>
      <c r="J31" s="596"/>
      <c r="K31" s="227"/>
      <c r="V31" s="442">
        <v>0</v>
      </c>
    </row>
    <row r="32" spans="1:22" ht="24" customHeight="1">
      <c r="A32" s="442"/>
      <c r="B32" s="442" t="s">
        <v>963</v>
      </c>
      <c r="C32" s="463"/>
      <c r="D32" s="629">
        <v>1</v>
      </c>
      <c r="E32" s="630" t="s">
        <v>964</v>
      </c>
      <c r="F32" s="628" t="s">
        <v>312</v>
      </c>
      <c r="G32" s="744" t="s">
        <v>312</v>
      </c>
      <c r="H32" s="744" t="s">
        <v>312</v>
      </c>
      <c r="I32" s="628" t="s">
        <v>312</v>
      </c>
      <c r="J32" s="628" t="s">
        <v>312</v>
      </c>
      <c r="K32" s="227"/>
      <c r="V32" s="442">
        <v>23</v>
      </c>
    </row>
    <row r="33" spans="1:22" ht="11.45" customHeight="1">
      <c r="A33" s="442"/>
      <c r="C33" s="442"/>
      <c r="D33" s="285"/>
      <c r="E33" s="517" t="s">
        <v>599</v>
      </c>
      <c r="F33" s="509"/>
      <c r="G33" s="509"/>
      <c r="H33" s="509"/>
      <c r="I33" s="509"/>
      <c r="J33" s="509"/>
      <c r="K33" s="510"/>
      <c r="U33" s="442"/>
      <c r="V33" s="442">
        <v>11</v>
      </c>
    </row>
    <row r="34" spans="1:22" ht="24" customHeight="1">
      <c r="A34" s="442"/>
      <c r="B34" s="518" t="s">
        <v>649</v>
      </c>
      <c r="C34" s="463"/>
      <c r="D34" s="629">
        <v>2</v>
      </c>
      <c r="E34" s="630" t="s">
        <v>965</v>
      </c>
      <c r="F34" s="751" t="s">
        <v>312</v>
      </c>
      <c r="G34" s="751" t="s">
        <v>312</v>
      </c>
      <c r="H34" s="751" t="s">
        <v>312</v>
      </c>
      <c r="I34" s="628"/>
      <c r="J34" s="628"/>
      <c r="K34" s="227"/>
      <c r="V34" s="442">
        <v>23</v>
      </c>
    </row>
    <row r="35" spans="1:22" ht="11.45" customHeight="1">
      <c r="A35" s="442"/>
      <c r="C35" s="442"/>
      <c r="D35" s="285"/>
      <c r="E35" s="517" t="s">
        <v>966</v>
      </c>
      <c r="F35" s="509"/>
      <c r="G35" s="631"/>
      <c r="H35" s="509"/>
      <c r="I35" s="631"/>
      <c r="J35" s="509"/>
      <c r="K35" s="510"/>
      <c r="U35" s="442"/>
      <c r="V35" s="442">
        <v>11</v>
      </c>
    </row>
    <row r="36" spans="1:22" ht="71.25" customHeight="1">
      <c r="A36" s="442"/>
      <c r="B36" s="442" t="s">
        <v>967</v>
      </c>
      <c r="C36" s="463"/>
      <c r="D36" s="629">
        <v>3</v>
      </c>
      <c r="E36" s="630" t="s">
        <v>968</v>
      </c>
      <c r="F36" s="632" t="s">
        <v>312</v>
      </c>
      <c r="G36" s="745" t="s">
        <v>969</v>
      </c>
      <c r="H36" s="744" t="s">
        <v>312</v>
      </c>
      <c r="I36" s="461" t="s">
        <v>969</v>
      </c>
      <c r="J36" s="628" t="s">
        <v>312</v>
      </c>
      <c r="K36" s="227" t="s">
        <v>970</v>
      </c>
      <c r="V36" s="442">
        <v>68</v>
      </c>
    </row>
    <row r="37" spans="1:22" ht="11.45" customHeight="1">
      <c r="A37" s="442"/>
      <c r="C37" s="442"/>
      <c r="D37" s="285"/>
      <c r="E37" s="517" t="s">
        <v>971</v>
      </c>
      <c r="F37" s="509"/>
      <c r="G37" s="631"/>
      <c r="H37" s="631"/>
      <c r="I37" s="631"/>
      <c r="J37" s="631"/>
      <c r="K37" s="510"/>
      <c r="U37" s="442"/>
      <c r="V37" s="442">
        <v>11</v>
      </c>
    </row>
    <row r="38" spans="1:22" ht="71.25" customHeight="1">
      <c r="A38" s="442"/>
      <c r="B38" s="442" t="s">
        <v>972</v>
      </c>
      <c r="C38" s="463"/>
      <c r="D38" s="629">
        <v>4</v>
      </c>
      <c r="E38" s="630" t="s">
        <v>973</v>
      </c>
      <c r="F38" s="632" t="s">
        <v>312</v>
      </c>
      <c r="G38" s="745" t="s">
        <v>969</v>
      </c>
      <c r="H38" s="746" t="s">
        <v>312</v>
      </c>
      <c r="I38" s="461" t="s">
        <v>969</v>
      </c>
      <c r="J38" s="458" t="s">
        <v>312</v>
      </c>
      <c r="K38" s="616" t="s">
        <v>974</v>
      </c>
      <c r="V38" s="442">
        <v>68</v>
      </c>
    </row>
    <row r="39" spans="1:22" ht="11.45" customHeight="1">
      <c r="A39" s="442"/>
      <c r="C39" s="442"/>
      <c r="D39" s="285"/>
      <c r="E39" s="517" t="s">
        <v>975</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976</v>
      </c>
      <c r="H3" s="1083"/>
      <c r="AE3" s="694">
        <v>0</v>
      </c>
    </row>
    <row r="4" spans="1:31" ht="3" customHeight="1">
      <c r="AE4" s="693">
        <v>3</v>
      </c>
    </row>
    <row r="5" spans="1:31"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M5" s="519"/>
      <c r="AB5" s="836"/>
      <c r="AE5" s="693">
        <v>26</v>
      </c>
    </row>
    <row r="6" spans="1:31" s="1562" customFormat="1" ht="16.899999999999999" customHeight="1">
      <c r="A6" s="1093"/>
      <c r="B6" s="1093"/>
      <c r="C6" s="1093"/>
      <c r="D6" s="1087"/>
      <c r="F6" s="2204" t="str">
        <f>IF(org=0,"Не определено",org)</f>
        <v>ООО ПКФ "Энергетик-2001"</v>
      </c>
      <c r="G6" s="2204"/>
      <c r="H6" s="2204"/>
      <c r="I6" s="2204"/>
      <c r="J6" s="2204"/>
      <c r="K6" s="2204"/>
      <c r="M6" s="519"/>
      <c r="AB6" s="1075"/>
      <c r="AE6" s="1558">
        <v>16</v>
      </c>
    </row>
    <row r="7" spans="1:31" ht="10.5" customHeight="1">
      <c r="AE7" s="693">
        <v>10</v>
      </c>
    </row>
    <row r="8" spans="1:31" ht="10.5" customHeight="1">
      <c r="A8" s="981"/>
      <c r="B8" s="981"/>
      <c r="C8" s="981"/>
      <c r="F8" s="2098" t="s">
        <v>306</v>
      </c>
      <c r="G8" s="2103"/>
      <c r="H8" s="2103"/>
      <c r="I8" s="2103"/>
      <c r="J8" s="2103"/>
      <c r="K8" s="2103"/>
      <c r="L8" s="2103"/>
      <c r="M8" s="2103"/>
      <c r="N8" s="2103"/>
      <c r="O8" s="2103"/>
      <c r="P8" s="2103"/>
      <c r="Q8" s="2103"/>
      <c r="R8" s="2103"/>
      <c r="S8" s="2103"/>
      <c r="T8" s="2103"/>
      <c r="U8" s="2103"/>
      <c r="V8" s="2103"/>
      <c r="W8" s="2103"/>
      <c r="X8" s="2103"/>
      <c r="Y8" s="2103"/>
      <c r="Z8" s="2103"/>
      <c r="AA8" s="2103"/>
      <c r="AB8" s="2097"/>
      <c r="AE8" s="693">
        <v>10</v>
      </c>
    </row>
    <row r="9" spans="1:31" ht="43.15" customHeight="1">
      <c r="A9" s="835"/>
      <c r="B9" s="835"/>
      <c r="C9" s="835"/>
      <c r="F9" s="2116" t="s">
        <v>88</v>
      </c>
      <c r="G9" s="2116" t="s">
        <v>976</v>
      </c>
      <c r="H9" s="2184" t="s">
        <v>977</v>
      </c>
      <c r="I9" s="2116" t="s">
        <v>978</v>
      </c>
      <c r="J9" s="2116" t="s">
        <v>979</v>
      </c>
      <c r="K9" s="2116" t="s">
        <v>980</v>
      </c>
      <c r="L9" s="2116" t="s">
        <v>981</v>
      </c>
      <c r="M9" s="2116" t="s">
        <v>982</v>
      </c>
      <c r="N9" s="2212" t="s">
        <v>983</v>
      </c>
      <c r="O9" s="2212"/>
      <c r="P9" s="2212"/>
      <c r="Q9" s="2265" t="s">
        <v>984</v>
      </c>
      <c r="R9" s="2266"/>
      <c r="S9" s="2266"/>
      <c r="T9" s="2267"/>
      <c r="U9" s="2265" t="s">
        <v>985</v>
      </c>
      <c r="V9" s="2266"/>
      <c r="W9" s="2266"/>
      <c r="X9" s="2267"/>
      <c r="Y9" s="2098" t="s">
        <v>986</v>
      </c>
      <c r="Z9" s="2103"/>
      <c r="AA9" s="2103"/>
      <c r="AB9" s="2097"/>
      <c r="AE9" s="693">
        <v>41</v>
      </c>
    </row>
    <row r="10" spans="1:31" ht="43.15" customHeight="1">
      <c r="A10" s="835"/>
      <c r="B10" s="835"/>
      <c r="C10" s="835"/>
      <c r="F10" s="2184"/>
      <c r="G10" s="2184"/>
      <c r="H10" s="2237"/>
      <c r="I10" s="2184"/>
      <c r="J10" s="2184"/>
      <c r="K10" s="2184"/>
      <c r="L10" s="2184"/>
      <c r="M10" s="2184"/>
      <c r="N10" s="833" t="s">
        <v>987</v>
      </c>
      <c r="O10" s="833" t="s">
        <v>988</v>
      </c>
      <c r="P10" s="834" t="s">
        <v>989</v>
      </c>
      <c r="Q10" s="845" t="s">
        <v>89</v>
      </c>
      <c r="R10" s="845" t="s">
        <v>990</v>
      </c>
      <c r="S10" s="845" t="s">
        <v>991</v>
      </c>
      <c r="T10" s="846" t="s">
        <v>992</v>
      </c>
      <c r="U10" s="845" t="s">
        <v>89</v>
      </c>
      <c r="V10" s="845" t="s">
        <v>993</v>
      </c>
      <c r="W10" s="845" t="s">
        <v>991</v>
      </c>
      <c r="X10" s="846" t="s">
        <v>992</v>
      </c>
      <c r="Y10" s="239" t="s">
        <v>994</v>
      </c>
      <c r="Z10" s="2098" t="s">
        <v>88</v>
      </c>
      <c r="AA10" s="2097"/>
      <c r="AB10" s="979" t="s">
        <v>995</v>
      </c>
      <c r="AE10" s="693">
        <v>41</v>
      </c>
    </row>
    <row r="11" spans="1:31" s="1569" customFormat="1" ht="5.25" hidden="1" customHeight="1">
      <c r="A11" s="982"/>
      <c r="B11" s="982"/>
      <c r="C11" s="982"/>
      <c r="E11" s="980"/>
      <c r="F11" s="2378" t="s">
        <v>382</v>
      </c>
      <c r="G11" s="2380"/>
      <c r="H11" s="2376"/>
      <c r="I11" s="2376"/>
      <c r="J11" s="2376"/>
      <c r="K11" s="2379"/>
      <c r="L11" s="2379"/>
      <c r="M11" s="2379"/>
      <c r="N11" s="2376"/>
      <c r="O11" s="2376"/>
      <c r="P11" s="2116"/>
      <c r="Q11" s="2194"/>
      <c r="R11" s="2194"/>
      <c r="S11" s="2194"/>
      <c r="T11" s="2376"/>
      <c r="U11" s="2194"/>
      <c r="V11" s="2194"/>
      <c r="W11" s="2194"/>
      <c r="X11" s="2376"/>
      <c r="Y11" s="2127"/>
      <c r="Z11" s="2127"/>
      <c r="AA11" s="2127"/>
      <c r="AB11" s="2127"/>
      <c r="AD11" s="448" t="s">
        <v>996</v>
      </c>
      <c r="AE11" s="448">
        <v>0</v>
      </c>
    </row>
    <row r="12" spans="1:31" s="1569" customFormat="1" ht="5.25" hidden="1" customHeight="1">
      <c r="A12" s="826"/>
      <c r="B12" s="826"/>
      <c r="C12" s="826"/>
      <c r="E12" s="455"/>
      <c r="F12" s="2378"/>
      <c r="G12" s="2380"/>
      <c r="H12" s="2376"/>
      <c r="I12" s="2376"/>
      <c r="J12" s="2376"/>
      <c r="K12" s="2379"/>
      <c r="L12" s="2379"/>
      <c r="M12" s="2379"/>
      <c r="N12" s="2376"/>
      <c r="O12" s="2376"/>
      <c r="P12" s="2116"/>
      <c r="Q12" s="2194"/>
      <c r="R12" s="2194"/>
      <c r="S12" s="2194"/>
      <c r="T12" s="2376"/>
      <c r="U12" s="2194"/>
      <c r="V12" s="2194"/>
      <c r="W12" s="2194"/>
      <c r="X12" s="2376"/>
      <c r="Y12" s="2377"/>
      <c r="Z12" s="2377"/>
      <c r="AA12" s="2377"/>
      <c r="AB12" s="2377"/>
      <c r="AE12" s="448">
        <v>0</v>
      </c>
    </row>
    <row r="13" spans="1:31" ht="10.5" customHeight="1">
      <c r="F13" s="832"/>
      <c r="G13" s="587" t="s">
        <v>997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L5" s="1062"/>
      <c r="M5" s="1062"/>
      <c r="AG5" s="836"/>
      <c r="AH5" s="1075"/>
      <c r="BG5" s="693">
        <v>26</v>
      </c>
    </row>
    <row r="6" spans="1:59" ht="10.5" customHeight="1">
      <c r="F6" s="2204" t="str">
        <f>IF(org=0,"Не определено",org)</f>
        <v>ООО ПКФ "Энергетик-2001"</v>
      </c>
      <c r="G6" s="2204"/>
      <c r="H6" s="2204"/>
      <c r="I6" s="2204"/>
      <c r="J6" s="2204"/>
      <c r="K6" s="220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83" t="s">
        <v>306</v>
      </c>
      <c r="G8" s="2384"/>
      <c r="H8" s="2384"/>
      <c r="I8" s="2384"/>
      <c r="J8" s="2384"/>
      <c r="K8" s="2384"/>
      <c r="L8" s="2384"/>
      <c r="M8" s="2384"/>
      <c r="N8" s="2384"/>
      <c r="O8" s="2384"/>
      <c r="P8" s="2384"/>
      <c r="Q8" s="2384"/>
      <c r="R8" s="2384"/>
      <c r="S8" s="2384"/>
      <c r="T8" s="2384"/>
      <c r="U8" s="2384"/>
      <c r="V8" s="2384"/>
      <c r="W8" s="2384"/>
      <c r="X8" s="2384"/>
      <c r="Y8" s="2384"/>
      <c r="Z8" s="2384"/>
      <c r="AA8" s="2384"/>
      <c r="AB8" s="2384"/>
      <c r="AC8" s="2384"/>
      <c r="AD8" s="2384"/>
      <c r="AE8" s="2384"/>
      <c r="AF8" s="2384"/>
      <c r="AG8" s="2384"/>
      <c r="AH8" s="2384"/>
      <c r="AI8" s="2384"/>
      <c r="AJ8" s="2384"/>
      <c r="AK8" s="238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12" t="s">
        <v>998</v>
      </c>
      <c r="G9" s="2322" t="s">
        <v>999</v>
      </c>
      <c r="H9" s="2365"/>
      <c r="I9" s="2116" t="s">
        <v>1000</v>
      </c>
      <c r="J9" s="2116"/>
      <c r="K9" s="2116" t="s">
        <v>1001</v>
      </c>
      <c r="L9" s="2116"/>
      <c r="M9" s="2116"/>
      <c r="N9" s="2116"/>
      <c r="O9" s="2116"/>
      <c r="P9" s="2116"/>
      <c r="Q9" s="2116"/>
      <c r="R9" s="2116"/>
      <c r="S9" s="2116"/>
      <c r="T9" s="2116"/>
      <c r="U9" s="2116"/>
      <c r="V9" s="2116"/>
      <c r="W9" s="2116"/>
      <c r="X9" s="2116"/>
      <c r="Y9" s="2116"/>
      <c r="Z9" s="2185" t="s">
        <v>1002</v>
      </c>
      <c r="AA9" s="2186"/>
      <c r="AB9" s="2116" t="s">
        <v>1003</v>
      </c>
      <c r="AC9" s="2116"/>
      <c r="AD9" s="2116"/>
      <c r="AE9" s="2116"/>
      <c r="AF9" s="2184" t="s">
        <v>1004</v>
      </c>
      <c r="AG9" s="2116" t="s">
        <v>1005</v>
      </c>
      <c r="AH9" s="2116"/>
      <c r="AI9" s="2184" t="s">
        <v>1006</v>
      </c>
      <c r="AJ9" s="2116" t="s">
        <v>1007</v>
      </c>
      <c r="AK9" s="2116"/>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12"/>
      <c r="G10" s="2323"/>
      <c r="H10" s="2216"/>
      <c r="I10" s="2116"/>
      <c r="J10" s="2116"/>
      <c r="K10" s="2116" t="s">
        <v>1008</v>
      </c>
      <c r="L10" s="2098" t="s">
        <v>1009</v>
      </c>
      <c r="M10" s="2097"/>
      <c r="N10" s="2116" t="s">
        <v>1010</v>
      </c>
      <c r="O10" s="2116"/>
      <c r="P10" s="2116"/>
      <c r="Q10" s="2116"/>
      <c r="R10" s="2116"/>
      <c r="S10" s="2116"/>
      <c r="T10" s="2116"/>
      <c r="U10" s="2116"/>
      <c r="V10" s="2116"/>
      <c r="W10" s="2116"/>
      <c r="X10" s="2116"/>
      <c r="Y10" s="2116"/>
      <c r="Z10" s="2187"/>
      <c r="AA10" s="2188"/>
      <c r="AB10" s="2116"/>
      <c r="AC10" s="2116"/>
      <c r="AD10" s="2116"/>
      <c r="AE10" s="2116"/>
      <c r="AF10" s="2189"/>
      <c r="AG10" s="2116"/>
      <c r="AH10" s="2116"/>
      <c r="AI10" s="2189"/>
      <c r="AJ10" s="2116"/>
      <c r="AK10" s="2116"/>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12"/>
      <c r="G11" s="2323"/>
      <c r="H11" s="2216"/>
      <c r="I11" s="2116"/>
      <c r="J11" s="2116"/>
      <c r="K11" s="2116"/>
      <c r="L11" s="2184" t="s">
        <v>1011</v>
      </c>
      <c r="M11" s="2184" t="s">
        <v>1012</v>
      </c>
      <c r="N11" s="2116" t="s">
        <v>1013</v>
      </c>
      <c r="O11" s="2116"/>
      <c r="P11" s="2175" t="s">
        <v>994</v>
      </c>
      <c r="Q11" s="2175" t="s">
        <v>1014</v>
      </c>
      <c r="R11" s="2175" t="s">
        <v>1015</v>
      </c>
      <c r="S11" s="2175" t="s">
        <v>1016</v>
      </c>
      <c r="T11" s="2175"/>
      <c r="U11" s="2175"/>
      <c r="V11" s="2175"/>
      <c r="W11" s="2175"/>
      <c r="X11" s="2175"/>
      <c r="Y11" s="2175"/>
      <c r="Z11" s="2187"/>
      <c r="AA11" s="2188"/>
      <c r="AB11" s="2116" t="s">
        <v>1017</v>
      </c>
      <c r="AC11" s="2116"/>
      <c r="AD11" s="2098" t="s">
        <v>1018</v>
      </c>
      <c r="AE11" s="2097"/>
      <c r="AF11" s="2189"/>
      <c r="AG11" s="2116"/>
      <c r="AH11" s="2116"/>
      <c r="AI11" s="2189"/>
      <c r="AJ11" s="2116"/>
      <c r="AK11" s="2116"/>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12"/>
      <c r="G12" s="2324"/>
      <c r="H12" s="2382"/>
      <c r="I12" s="1080" t="s">
        <v>89</v>
      </c>
      <c r="J12" s="1080" t="s">
        <v>1019</v>
      </c>
      <c r="K12" s="2116"/>
      <c r="L12" s="2237"/>
      <c r="M12" s="2237"/>
      <c r="N12" s="2116"/>
      <c r="O12" s="2116"/>
      <c r="P12" s="2175"/>
      <c r="Q12" s="2175"/>
      <c r="R12" s="2175"/>
      <c r="S12" s="1061" t="s">
        <v>86</v>
      </c>
      <c r="T12" s="1061" t="s">
        <v>87</v>
      </c>
      <c r="U12" s="1061" t="s">
        <v>85</v>
      </c>
      <c r="V12" s="1061" t="s">
        <v>1020</v>
      </c>
      <c r="W12" s="1061" t="s">
        <v>85</v>
      </c>
      <c r="X12" s="1061" t="s">
        <v>1021</v>
      </c>
      <c r="Y12" s="1061" t="s">
        <v>1022</v>
      </c>
      <c r="Z12" s="2190"/>
      <c r="AA12" s="2191"/>
      <c r="AB12" s="1068" t="s">
        <v>1023</v>
      </c>
      <c r="AC12" s="1068" t="s">
        <v>1024</v>
      </c>
      <c r="AD12" s="1068" t="s">
        <v>1023</v>
      </c>
      <c r="AE12" s="1068" t="s">
        <v>1024</v>
      </c>
      <c r="AF12" s="2237"/>
      <c r="AG12" s="1081" t="s">
        <v>1025</v>
      </c>
      <c r="AH12" s="1081" t="s">
        <v>1026</v>
      </c>
      <c r="AI12" s="2237"/>
      <c r="AJ12" s="1081" t="s">
        <v>1025</v>
      </c>
      <c r="AK12" s="1081" t="s">
        <v>1026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81"/>
      <c r="G17" s="2381"/>
      <c r="H17" s="2381"/>
      <c r="I17" s="2381"/>
      <c r="J17" s="238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81"/>
      <c r="G18" s="2381"/>
      <c r="H18" s="2381"/>
      <c r="I18" s="2381"/>
      <c r="J18" s="238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81"/>
      <c r="G19" s="2381"/>
      <c r="H19" s="2381"/>
      <c r="I19" s="2381"/>
      <c r="J19" s="238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2"/>
      <c r="H5" s="2232"/>
      <c r="I5" s="2232"/>
      <c r="J5" s="2232"/>
      <c r="W5" s="1082">
        <v>26</v>
      </c>
    </row>
    <row r="6" spans="1:23" ht="10.5" customHeight="1">
      <c r="F6" s="2204" t="str">
        <f>IF(org=0,"Не определено",org)</f>
        <v>ООО ПКФ "Энергетик-2001"</v>
      </c>
      <c r="G6" s="2204"/>
      <c r="H6" s="2204"/>
      <c r="I6" s="2204"/>
      <c r="J6" s="220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86" t="s">
        <v>306</v>
      </c>
      <c r="G9" s="2387"/>
      <c r="H9" s="2387"/>
      <c r="I9" s="2387"/>
      <c r="J9" s="2387"/>
      <c r="K9" s="1167"/>
      <c r="L9" s="1084"/>
      <c r="M9" s="1084"/>
      <c r="N9" s="1084"/>
      <c r="O9" s="1084"/>
      <c r="P9" s="1084"/>
      <c r="Q9" s="1084"/>
      <c r="R9" s="1084"/>
      <c r="S9" s="1084"/>
      <c r="T9" s="1084"/>
      <c r="U9" s="1084"/>
      <c r="V9" s="1084"/>
      <c r="W9" s="1082">
        <v>10</v>
      </c>
    </row>
    <row r="10" spans="1:23" ht="25.15" customHeight="1">
      <c r="E10" s="1084"/>
      <c r="F10" s="2390" t="s">
        <v>88</v>
      </c>
      <c r="G10" s="2394" t="s">
        <v>1028</v>
      </c>
      <c r="H10" s="2376" t="s">
        <v>1029</v>
      </c>
      <c r="I10" s="2376"/>
      <c r="J10" s="2376"/>
      <c r="K10" s="1160"/>
      <c r="L10" s="1084"/>
      <c r="M10" s="1084"/>
      <c r="N10" s="1084"/>
      <c r="O10" s="1084"/>
      <c r="P10" s="1084"/>
      <c r="Q10" s="1084"/>
      <c r="R10" s="1084"/>
      <c r="S10" s="1084"/>
      <c r="T10" s="1084"/>
      <c r="U10" s="1084"/>
      <c r="V10" s="1084"/>
      <c r="W10" s="1082">
        <v>24</v>
      </c>
    </row>
    <row r="11" spans="1:23" ht="25.5" customHeight="1">
      <c r="E11" s="1084"/>
      <c r="F11" s="2391"/>
      <c r="G11" s="2394"/>
      <c r="H11" s="2393" t="e">
        <f>INDEX(IP_MAIN_LIST_NAME_IP,MATCH(H8,IP_MAIN_LIST_IP_ID,0))&amp;" ("&amp;INDEX(IP_MAIN_START_DATE,MATCH(H8,IP_MAIN_LIST_IP_ID,0))&amp;"-"&amp;INDEX(IP_MAIN_END_DATE,MATCH(H8,IP_MAIN_LIST_IP_ID,0))&amp;")"</f>
        <v>#N/A</v>
      </c>
      <c r="I11" s="2393"/>
      <c r="J11" s="2393"/>
      <c r="K11" s="1160"/>
      <c r="L11" s="1084"/>
      <c r="M11" s="1084"/>
      <c r="N11" s="1084"/>
      <c r="O11" s="1084"/>
      <c r="P11" s="1084"/>
      <c r="Q11" s="1084"/>
      <c r="R11" s="1084"/>
      <c r="S11" s="1084"/>
      <c r="T11" s="1084"/>
      <c r="U11" s="1084"/>
      <c r="V11" s="1084"/>
      <c r="W11" s="1082">
        <v>24</v>
      </c>
    </row>
    <row r="12" spans="1:23" ht="10.5" customHeight="1">
      <c r="F12" s="2392"/>
      <c r="G12" s="2394"/>
      <c r="H12" s="1153" t="s">
        <v>1030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1031</v>
      </c>
      <c r="G14" s="2388" t="s">
        <v>1032</v>
      </c>
      <c r="H14" s="2388"/>
      <c r="I14" s="2388"/>
      <c r="J14" s="2388"/>
      <c r="K14" s="1161"/>
      <c r="W14" s="1082">
        <v>11</v>
      </c>
    </row>
    <row r="15" spans="1:23" ht="11.45" customHeight="1">
      <c r="F15" s="1157">
        <v>1</v>
      </c>
      <c r="G15" s="627" t="s">
        <v>1033</v>
      </c>
      <c r="H15" s="1163">
        <f t="shared" ref="H15:H36" si="0">SUM(I15:J15)</f>
        <v>0</v>
      </c>
      <c r="I15" s="1163">
        <f>SUM(I16:I27)</f>
        <v>0</v>
      </c>
      <c r="J15" s="1152"/>
      <c r="K15" s="1161"/>
      <c r="W15" s="1082">
        <v>11</v>
      </c>
    </row>
    <row r="16" spans="1:23" ht="24" customHeight="1">
      <c r="F16" s="1157" t="s">
        <v>1034</v>
      </c>
      <c r="G16" s="1164" t="s">
        <v>1035</v>
      </c>
      <c r="H16" s="1163">
        <f t="shared" si="0"/>
        <v>0</v>
      </c>
      <c r="I16" s="1162"/>
      <c r="J16" s="1152"/>
      <c r="K16" s="1161"/>
      <c r="W16" s="1082">
        <v>23</v>
      </c>
    </row>
    <row r="17" spans="6:23" ht="24" customHeight="1">
      <c r="F17" s="1157" t="s">
        <v>1036</v>
      </c>
      <c r="G17" s="1164" t="s">
        <v>1037</v>
      </c>
      <c r="H17" s="1163">
        <f t="shared" si="0"/>
        <v>0</v>
      </c>
      <c r="I17" s="1162"/>
      <c r="J17" s="1152"/>
      <c r="K17" s="1161"/>
      <c r="W17" s="1082">
        <v>23</v>
      </c>
    </row>
    <row r="18" spans="6:23" ht="35.65" customHeight="1">
      <c r="F18" s="1157" t="s">
        <v>1038</v>
      </c>
      <c r="G18" s="1164" t="s">
        <v>1039</v>
      </c>
      <c r="H18" s="1163">
        <f t="shared" si="0"/>
        <v>0</v>
      </c>
      <c r="I18" s="1162"/>
      <c r="J18" s="1152"/>
      <c r="K18" s="1161"/>
      <c r="W18" s="1082">
        <v>34</v>
      </c>
    </row>
    <row r="19" spans="6:23" ht="35.65" customHeight="1">
      <c r="F19" s="1157" t="s">
        <v>1040</v>
      </c>
      <c r="G19" s="1164" t="s">
        <v>1041</v>
      </c>
      <c r="H19" s="1163">
        <f t="shared" si="0"/>
        <v>0</v>
      </c>
      <c r="I19" s="1162"/>
      <c r="J19" s="1152"/>
      <c r="K19" s="1161"/>
      <c r="W19" s="1082">
        <v>34</v>
      </c>
    </row>
    <row r="20" spans="6:23" ht="48.2" customHeight="1">
      <c r="F20" s="1157" t="s">
        <v>1042</v>
      </c>
      <c r="G20" s="1164" t="s">
        <v>1043</v>
      </c>
      <c r="H20" s="1163">
        <f t="shared" si="0"/>
        <v>0</v>
      </c>
      <c r="I20" s="1162"/>
      <c r="J20" s="1152"/>
      <c r="K20" s="1161"/>
      <c r="W20" s="1082">
        <v>46</v>
      </c>
    </row>
    <row r="21" spans="6:23" ht="35.65" customHeight="1">
      <c r="F21" s="1157" t="s">
        <v>1044</v>
      </c>
      <c r="G21" s="1164" t="s">
        <v>1045</v>
      </c>
      <c r="H21" s="1163">
        <f t="shared" si="0"/>
        <v>0</v>
      </c>
      <c r="I21" s="1162"/>
      <c r="J21" s="1152"/>
      <c r="K21" s="1161"/>
      <c r="W21" s="1082">
        <v>34</v>
      </c>
    </row>
    <row r="22" spans="6:23" ht="35.65" customHeight="1">
      <c r="F22" s="1157" t="s">
        <v>1046</v>
      </c>
      <c r="G22" s="1164" t="s">
        <v>1047</v>
      </c>
      <c r="H22" s="1163">
        <f t="shared" si="0"/>
        <v>0</v>
      </c>
      <c r="I22" s="1162"/>
      <c r="J22" s="1152"/>
      <c r="K22" s="1161"/>
      <c r="W22" s="1082">
        <v>34</v>
      </c>
    </row>
    <row r="23" spans="6:23" ht="24" customHeight="1">
      <c r="F23" s="1157" t="s">
        <v>1048</v>
      </c>
      <c r="G23" s="1164" t="s">
        <v>1049</v>
      </c>
      <c r="H23" s="1163">
        <f t="shared" si="0"/>
        <v>0</v>
      </c>
      <c r="I23" s="1162"/>
      <c r="J23" s="1152"/>
      <c r="K23" s="1161"/>
      <c r="W23" s="1082">
        <v>23</v>
      </c>
    </row>
    <row r="24" spans="6:23" ht="24" customHeight="1">
      <c r="F24" s="1157" t="s">
        <v>1050</v>
      </c>
      <c r="G24" s="1164" t="s">
        <v>1051</v>
      </c>
      <c r="H24" s="1163">
        <f t="shared" si="0"/>
        <v>0</v>
      </c>
      <c r="I24" s="1162"/>
      <c r="J24" s="1152"/>
      <c r="K24" s="1161"/>
      <c r="W24" s="1082">
        <v>23</v>
      </c>
    </row>
    <row r="25" spans="6:23" ht="35.65" customHeight="1">
      <c r="F25" s="1157" t="s">
        <v>1052</v>
      </c>
      <c r="G25" s="1164" t="s">
        <v>1053</v>
      </c>
      <c r="H25" s="1163">
        <f t="shared" si="0"/>
        <v>0</v>
      </c>
      <c r="I25" s="1162"/>
      <c r="J25" s="1152"/>
      <c r="K25" s="1161"/>
      <c r="W25" s="1082">
        <v>34</v>
      </c>
    </row>
    <row r="26" spans="6:23" ht="35.65" customHeight="1">
      <c r="F26" s="1157" t="s">
        <v>1054</v>
      </c>
      <c r="G26" s="1164" t="s">
        <v>1055</v>
      </c>
      <c r="H26" s="1163">
        <f t="shared" si="0"/>
        <v>0</v>
      </c>
      <c r="I26" s="1162"/>
      <c r="J26" s="1152"/>
      <c r="K26" s="1161"/>
      <c r="W26" s="1082">
        <v>34</v>
      </c>
    </row>
    <row r="27" spans="6:23" ht="11.45" customHeight="1">
      <c r="F27" s="1157" t="s">
        <v>1056</v>
      </c>
      <c r="G27" s="1164" t="s">
        <v>1057</v>
      </c>
      <c r="H27" s="1163">
        <f t="shared" si="0"/>
        <v>0</v>
      </c>
      <c r="I27" s="1162"/>
      <c r="J27" s="1152"/>
      <c r="K27" s="1161"/>
      <c r="W27" s="1082">
        <v>11</v>
      </c>
    </row>
    <row r="28" spans="6:23" ht="11.45" customHeight="1">
      <c r="F28" s="1157">
        <v>2</v>
      </c>
      <c r="G28" s="627" t="s">
        <v>1058</v>
      </c>
      <c r="H28" s="1163">
        <f t="shared" si="0"/>
        <v>0</v>
      </c>
      <c r="I28" s="1163">
        <f>SUM(I29:I31)</f>
        <v>0</v>
      </c>
      <c r="J28" s="1152"/>
      <c r="K28" s="1161"/>
      <c r="W28" s="1082">
        <v>11</v>
      </c>
    </row>
    <row r="29" spans="6:23" ht="11.45" customHeight="1">
      <c r="F29" s="1157" t="s">
        <v>721</v>
      </c>
      <c r="G29" s="1164" t="s">
        <v>1059</v>
      </c>
      <c r="H29" s="1163">
        <f t="shared" si="0"/>
        <v>0</v>
      </c>
      <c r="I29" s="1162"/>
      <c r="J29" s="1152"/>
      <c r="K29" s="1161"/>
      <c r="W29" s="1082">
        <v>11</v>
      </c>
    </row>
    <row r="30" spans="6:23" ht="11.45" customHeight="1">
      <c r="F30" s="1157" t="s">
        <v>313</v>
      </c>
      <c r="G30" s="1164" t="s">
        <v>1060</v>
      </c>
      <c r="H30" s="1163">
        <f t="shared" si="0"/>
        <v>0</v>
      </c>
      <c r="I30" s="1162"/>
      <c r="J30" s="1152"/>
      <c r="K30" s="1161"/>
      <c r="W30" s="1082">
        <v>11</v>
      </c>
    </row>
    <row r="31" spans="6:23" ht="11.45" customHeight="1">
      <c r="F31" s="1157" t="s">
        <v>316</v>
      </c>
      <c r="G31" s="1164" t="s">
        <v>1061</v>
      </c>
      <c r="H31" s="1163">
        <f t="shared" si="0"/>
        <v>0</v>
      </c>
      <c r="I31" s="1162"/>
      <c r="J31" s="1152"/>
      <c r="K31" s="1161"/>
      <c r="W31" s="1082">
        <v>11</v>
      </c>
    </row>
    <row r="32" spans="6:23" ht="11.45" customHeight="1">
      <c r="F32" s="1157">
        <v>3</v>
      </c>
      <c r="G32" s="627" t="s">
        <v>1062</v>
      </c>
      <c r="H32" s="1163">
        <f t="shared" si="0"/>
        <v>0</v>
      </c>
      <c r="I32" s="1163">
        <f>SUM(I33:I34)</f>
        <v>0</v>
      </c>
      <c r="J32" s="1152"/>
      <c r="K32" s="1161"/>
      <c r="W32" s="1082">
        <v>11</v>
      </c>
    </row>
    <row r="33" spans="6:23" ht="48.2" customHeight="1">
      <c r="F33" s="1157" t="s">
        <v>330</v>
      </c>
      <c r="G33" s="1164" t="s">
        <v>1063</v>
      </c>
      <c r="H33" s="1163">
        <f t="shared" si="0"/>
        <v>0</v>
      </c>
      <c r="I33" s="1162"/>
      <c r="J33" s="1152"/>
      <c r="K33" s="1161"/>
      <c r="W33" s="1082">
        <v>46</v>
      </c>
    </row>
    <row r="34" spans="6:23" ht="11.45" customHeight="1">
      <c r="F34" s="1157" t="s">
        <v>338</v>
      </c>
      <c r="G34" s="1164" t="s">
        <v>1064</v>
      </c>
      <c r="H34" s="1163">
        <f t="shared" si="0"/>
        <v>0</v>
      </c>
      <c r="I34" s="1162"/>
      <c r="J34" s="1152"/>
      <c r="K34" s="1161"/>
      <c r="W34" s="1082">
        <v>11</v>
      </c>
    </row>
    <row r="35" spans="6:23" ht="11.45" customHeight="1">
      <c r="F35" s="1157">
        <v>4</v>
      </c>
      <c r="G35" s="627" t="s">
        <v>1065</v>
      </c>
      <c r="H35" s="1163">
        <f t="shared" si="0"/>
        <v>0</v>
      </c>
      <c r="I35" s="1162"/>
      <c r="J35" s="1152"/>
      <c r="K35" s="1161"/>
      <c r="W35" s="1082">
        <v>11</v>
      </c>
    </row>
    <row r="36" spans="6:23" ht="11.45" customHeight="1">
      <c r="F36" s="1157"/>
      <c r="G36" s="630" t="s">
        <v>1066</v>
      </c>
      <c r="H36" s="1163">
        <f t="shared" si="0"/>
        <v>0</v>
      </c>
      <c r="I36" s="1163">
        <f>SUM(I15,I28,I32,I35)</f>
        <v>0</v>
      </c>
      <c r="J36" s="1152"/>
      <c r="K36" s="1161"/>
      <c r="W36" s="1082">
        <v>11</v>
      </c>
    </row>
    <row r="37" spans="6:23" ht="29.25" customHeight="1">
      <c r="F37" s="1158" t="s">
        <v>1067</v>
      </c>
      <c r="G37" s="2389" t="s">
        <v>1068</v>
      </c>
      <c r="H37" s="2389"/>
      <c r="I37" s="2389"/>
      <c r="J37" s="2389"/>
      <c r="K37" s="1161"/>
      <c r="W37" s="1082">
        <v>28</v>
      </c>
    </row>
    <row r="38" spans="6:23" ht="24" customHeight="1">
      <c r="F38" s="1157" t="s">
        <v>110</v>
      </c>
      <c r="G38" s="627" t="s">
        <v>1069</v>
      </c>
      <c r="H38" s="1163">
        <f t="shared" ref="H38:H58" si="1">SUM(I38:J38)</f>
        <v>0</v>
      </c>
      <c r="I38" s="1163">
        <f>SUM(I39,I44,I47)</f>
        <v>0</v>
      </c>
      <c r="J38" s="1152"/>
      <c r="K38" s="1161"/>
      <c r="W38" s="1082">
        <v>23</v>
      </c>
    </row>
    <row r="39" spans="6:23" ht="11.45" customHeight="1">
      <c r="F39" s="1157" t="s">
        <v>1034</v>
      </c>
      <c r="G39" s="1164" t="s">
        <v>1033</v>
      </c>
      <c r="H39" s="1163">
        <f t="shared" si="1"/>
        <v>0</v>
      </c>
      <c r="I39" s="1163">
        <f>SUM(I40:I43)</f>
        <v>0</v>
      </c>
      <c r="J39" s="1152"/>
      <c r="K39" s="1161"/>
      <c r="W39" s="1082">
        <v>11</v>
      </c>
    </row>
    <row r="40" spans="6:23" ht="24" customHeight="1">
      <c r="F40" s="1157" t="s">
        <v>1070</v>
      </c>
      <c r="G40" s="1165" t="s">
        <v>1071</v>
      </c>
      <c r="H40" s="1163">
        <f t="shared" si="1"/>
        <v>0</v>
      </c>
      <c r="I40" s="1162"/>
      <c r="J40" s="1152"/>
      <c r="K40" s="1161"/>
      <c r="W40" s="1082">
        <v>23</v>
      </c>
    </row>
    <row r="41" spans="6:23" ht="11.45" customHeight="1">
      <c r="F41" s="1157" t="s">
        <v>1072</v>
      </c>
      <c r="G41" s="1165" t="s">
        <v>1073</v>
      </c>
      <c r="H41" s="1163">
        <f t="shared" si="1"/>
        <v>0</v>
      </c>
      <c r="I41" s="1162"/>
      <c r="J41" s="1152"/>
      <c r="K41" s="1161"/>
      <c r="W41" s="1082">
        <v>11</v>
      </c>
    </row>
    <row r="42" spans="6:23" ht="11.45" customHeight="1">
      <c r="F42" s="1157" t="s">
        <v>1074</v>
      </c>
      <c r="G42" s="1165" t="s">
        <v>1075</v>
      </c>
      <c r="H42" s="1163">
        <f t="shared" si="1"/>
        <v>0</v>
      </c>
      <c r="I42" s="1162"/>
      <c r="J42" s="1152"/>
      <c r="K42" s="1161"/>
      <c r="W42" s="1082">
        <v>11</v>
      </c>
    </row>
    <row r="43" spans="6:23" ht="35.65" customHeight="1">
      <c r="F43" s="1157" t="s">
        <v>1076</v>
      </c>
      <c r="G43" s="1165" t="s">
        <v>1077</v>
      </c>
      <c r="H43" s="1163">
        <f t="shared" si="1"/>
        <v>0</v>
      </c>
      <c r="I43" s="1162"/>
      <c r="J43" s="1152"/>
      <c r="K43" s="1161"/>
      <c r="W43" s="1082">
        <v>34</v>
      </c>
    </row>
    <row r="44" spans="6:23" ht="11.45" customHeight="1">
      <c r="F44" s="1157" t="s">
        <v>1036</v>
      </c>
      <c r="G44" s="1164" t="s">
        <v>1062</v>
      </c>
      <c r="H44" s="1163">
        <f t="shared" si="1"/>
        <v>0</v>
      </c>
      <c r="I44" s="1163">
        <f>SUM(I45:I46)</f>
        <v>0</v>
      </c>
      <c r="J44" s="1152"/>
      <c r="K44" s="1161"/>
      <c r="W44" s="1082">
        <v>11</v>
      </c>
    </row>
    <row r="45" spans="6:23" ht="48.2" customHeight="1">
      <c r="F45" s="1157" t="s">
        <v>1078</v>
      </c>
      <c r="G45" s="1165" t="s">
        <v>1063</v>
      </c>
      <c r="H45" s="1163">
        <f t="shared" si="1"/>
        <v>0</v>
      </c>
      <c r="I45" s="1162"/>
      <c r="J45" s="1152"/>
      <c r="K45" s="1161"/>
      <c r="W45" s="1082">
        <v>46</v>
      </c>
    </row>
    <row r="46" spans="6:23" ht="11.45" customHeight="1">
      <c r="F46" s="1157" t="s">
        <v>1079</v>
      </c>
      <c r="G46" s="1165" t="s">
        <v>1064</v>
      </c>
      <c r="H46" s="1163">
        <f t="shared" si="1"/>
        <v>0</v>
      </c>
      <c r="I46" s="1162"/>
      <c r="J46" s="1152"/>
      <c r="K46" s="1161"/>
      <c r="W46" s="1082">
        <v>11</v>
      </c>
    </row>
    <row r="47" spans="6:23" ht="11.45" customHeight="1">
      <c r="F47" s="1157" t="s">
        <v>1038</v>
      </c>
      <c r="G47" s="1164" t="s">
        <v>1080</v>
      </c>
      <c r="H47" s="1163">
        <f t="shared" si="1"/>
        <v>0</v>
      </c>
      <c r="I47" s="1162"/>
      <c r="J47" s="1152"/>
      <c r="K47" s="1161"/>
      <c r="W47" s="1082">
        <v>11</v>
      </c>
    </row>
    <row r="48" spans="6:23" ht="24" customHeight="1">
      <c r="F48" s="1157" t="s">
        <v>111</v>
      </c>
      <c r="G48" s="627" t="s">
        <v>1081</v>
      </c>
      <c r="H48" s="1163">
        <f t="shared" si="1"/>
        <v>0</v>
      </c>
      <c r="I48" s="1163">
        <f>SUM(I49,I54,I57)</f>
        <v>0</v>
      </c>
      <c r="J48" s="1152"/>
      <c r="K48" s="1161"/>
      <c r="W48" s="1082">
        <v>23</v>
      </c>
    </row>
    <row r="49" spans="1:23" ht="11.45" customHeight="1">
      <c r="F49" s="1157" t="s">
        <v>721</v>
      </c>
      <c r="G49" s="1164" t="s">
        <v>1033</v>
      </c>
      <c r="H49" s="1163">
        <f t="shared" si="1"/>
        <v>0</v>
      </c>
      <c r="I49" s="1163">
        <f>SUM(I50:I53)</f>
        <v>0</v>
      </c>
      <c r="J49" s="1152"/>
      <c r="K49" s="1161"/>
      <c r="W49" s="1082">
        <v>11</v>
      </c>
    </row>
    <row r="50" spans="1:23" ht="24" customHeight="1">
      <c r="F50" s="1157" t="s">
        <v>724</v>
      </c>
      <c r="G50" s="1165" t="s">
        <v>1071</v>
      </c>
      <c r="H50" s="1163">
        <f t="shared" si="1"/>
        <v>0</v>
      </c>
      <c r="I50" s="1162"/>
      <c r="J50" s="1152"/>
      <c r="K50" s="1161"/>
      <c r="W50" s="1082">
        <v>23</v>
      </c>
    </row>
    <row r="51" spans="1:23" ht="11.45" customHeight="1">
      <c r="F51" s="1157" t="s">
        <v>727</v>
      </c>
      <c r="G51" s="1165" t="s">
        <v>1073</v>
      </c>
      <c r="H51" s="1163">
        <f t="shared" si="1"/>
        <v>0</v>
      </c>
      <c r="I51" s="1162"/>
      <c r="J51" s="1152"/>
      <c r="K51" s="1161"/>
      <c r="W51" s="1082">
        <v>11</v>
      </c>
    </row>
    <row r="52" spans="1:23" ht="11.45" customHeight="1">
      <c r="F52" s="1157" t="s">
        <v>1082</v>
      </c>
      <c r="G52" s="1165" t="s">
        <v>1075</v>
      </c>
      <c r="H52" s="1163">
        <f t="shared" si="1"/>
        <v>0</v>
      </c>
      <c r="I52" s="1162"/>
      <c r="J52" s="1152"/>
      <c r="K52" s="1161"/>
      <c r="W52" s="1082">
        <v>11</v>
      </c>
    </row>
    <row r="53" spans="1:23" ht="35.65" customHeight="1">
      <c r="F53" s="1157" t="s">
        <v>1083</v>
      </c>
      <c r="G53" s="1165" t="s">
        <v>1077</v>
      </c>
      <c r="H53" s="1163">
        <f t="shared" si="1"/>
        <v>0</v>
      </c>
      <c r="I53" s="1162"/>
      <c r="J53" s="1152"/>
      <c r="K53" s="1161"/>
      <c r="W53" s="1082">
        <v>34</v>
      </c>
    </row>
    <row r="54" spans="1:23" ht="11.45" customHeight="1">
      <c r="F54" s="1157" t="s">
        <v>313</v>
      </c>
      <c r="G54" s="1164" t="s">
        <v>1062</v>
      </c>
      <c r="H54" s="1163">
        <f t="shared" si="1"/>
        <v>0</v>
      </c>
      <c r="I54" s="1163">
        <f>SUM(I55:I56)</f>
        <v>0</v>
      </c>
      <c r="J54" s="1152"/>
      <c r="K54" s="1161"/>
      <c r="W54" s="1082">
        <v>11</v>
      </c>
    </row>
    <row r="55" spans="1:23" ht="48.2" customHeight="1">
      <c r="F55" s="1157" t="s">
        <v>731</v>
      </c>
      <c r="G55" s="1165" t="s">
        <v>1063</v>
      </c>
      <c r="H55" s="1163">
        <f t="shared" si="1"/>
        <v>0</v>
      </c>
      <c r="I55" s="1162"/>
      <c r="J55" s="1152"/>
      <c r="K55" s="1161"/>
      <c r="W55" s="1082">
        <v>46</v>
      </c>
    </row>
    <row r="56" spans="1:23" ht="11.45" customHeight="1">
      <c r="F56" s="1157" t="s">
        <v>733</v>
      </c>
      <c r="G56" s="1165" t="s">
        <v>1064</v>
      </c>
      <c r="H56" s="1163">
        <f t="shared" si="1"/>
        <v>0</v>
      </c>
      <c r="I56" s="1162"/>
      <c r="J56" s="1152"/>
      <c r="K56" s="1161"/>
      <c r="W56" s="1082">
        <v>11</v>
      </c>
    </row>
    <row r="57" spans="1:23" ht="11.45" customHeight="1">
      <c r="F57" s="1157" t="s">
        <v>316</v>
      </c>
      <c r="G57" s="1164" t="s">
        <v>1080</v>
      </c>
      <c r="H57" s="1163">
        <f t="shared" si="1"/>
        <v>0</v>
      </c>
      <c r="I57" s="1162"/>
      <c r="J57" s="1152"/>
      <c r="K57" s="1161"/>
      <c r="W57" s="1082">
        <v>11</v>
      </c>
    </row>
    <row r="58" spans="1:23" ht="11.45" customHeight="1">
      <c r="F58" s="1157"/>
      <c r="G58" s="1166" t="s">
        <v>1066</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1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0"/>
      <c r="H5" s="2160"/>
      <c r="I5" s="2160"/>
      <c r="J5" s="2160"/>
      <c r="K5" s="2160"/>
      <c r="L5" s="2160"/>
      <c r="M5" s="2160"/>
      <c r="N5" s="2160"/>
      <c r="O5" s="2160"/>
      <c r="P5" s="2160"/>
      <c r="Q5" s="2160"/>
      <c r="R5" s="2160"/>
      <c r="S5" s="2160"/>
      <c r="T5" s="2160"/>
      <c r="U5" s="2160"/>
      <c r="V5" s="2160"/>
      <c r="W5" s="2160"/>
      <c r="X5" s="2160"/>
      <c r="Y5" s="2160"/>
      <c r="Z5" s="2160"/>
      <c r="AA5" s="2160"/>
      <c r="AB5" s="2160"/>
      <c r="AC5" s="2160"/>
      <c r="AD5" s="2160"/>
      <c r="AE5" s="2160"/>
      <c r="AF5" s="2160"/>
      <c r="AG5" s="2160"/>
      <c r="AH5" s="2160"/>
      <c r="AI5" s="2160"/>
      <c r="AJ5" s="2160"/>
      <c r="AK5" s="2160"/>
      <c r="AL5" s="2160"/>
      <c r="AM5" s="2160"/>
      <c r="AN5" s="2160"/>
      <c r="AO5" s="2160"/>
      <c r="AP5" s="2160"/>
      <c r="AQ5" s="2160"/>
      <c r="AR5" s="2160"/>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c r="BP5" s="2160"/>
      <c r="BQ5" s="2160"/>
      <c r="BR5" s="2160"/>
      <c r="BS5" s="2160"/>
      <c r="GC5" s="1798">
        <v>26</v>
      </c>
    </row>
    <row r="6" spans="2:185" s="2002" customFormat="1" ht="18.75" customHeight="1">
      <c r="B6" s="873"/>
      <c r="E6" s="875"/>
      <c r="F6" s="2226" t="str">
        <f>IF(org=0,"Не определено",org)</f>
        <v>ООО ПКФ "Энергетик-2001"</v>
      </c>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04" t="s">
        <v>1084</v>
      </c>
      <c r="P8" s="2405"/>
      <c r="Q8" s="2405"/>
      <c r="R8" s="2405"/>
      <c r="S8" s="2405"/>
      <c r="T8" s="2405"/>
      <c r="U8" s="2405"/>
      <c r="V8" s="2405"/>
      <c r="W8" s="2405"/>
      <c r="X8" s="2405"/>
      <c r="Y8" s="2405"/>
      <c r="Z8" s="2405"/>
      <c r="AA8" s="2405"/>
      <c r="AB8" s="2405"/>
      <c r="AC8" s="2405"/>
      <c r="AD8" s="2405"/>
      <c r="AE8" s="2405"/>
      <c r="AF8" s="2405"/>
      <c r="AG8" s="2405"/>
      <c r="AH8" s="2405"/>
      <c r="AI8" s="2405"/>
      <c r="AJ8" s="2405"/>
      <c r="AK8" s="2405"/>
      <c r="AL8" s="2405"/>
      <c r="AM8" s="2405"/>
      <c r="AN8" s="2405"/>
      <c r="AO8" s="2405"/>
      <c r="AP8" s="2405"/>
      <c r="AQ8" s="2405"/>
      <c r="AR8" s="2405"/>
      <c r="AS8" s="2405"/>
      <c r="AT8" s="2405"/>
      <c r="AU8" s="2405"/>
      <c r="AV8" s="2405"/>
      <c r="AW8" s="2405"/>
      <c r="AX8" s="2405"/>
      <c r="AY8" s="2405"/>
      <c r="AZ8" s="2405"/>
      <c r="BA8" s="2405"/>
      <c r="BB8" s="2405"/>
      <c r="BC8" s="2405"/>
      <c r="BD8" s="2405"/>
      <c r="BE8" s="2405"/>
      <c r="BF8" s="2405"/>
      <c r="BG8" s="2405"/>
      <c r="BH8" s="2405"/>
      <c r="BI8" s="2405"/>
      <c r="BJ8" s="2405"/>
      <c r="BK8" s="2405"/>
      <c r="BL8" s="2405"/>
      <c r="BM8" s="2405"/>
      <c r="BN8" s="2405"/>
      <c r="BO8" s="2405"/>
      <c r="BP8" s="2405"/>
      <c r="BQ8" s="2405"/>
      <c r="BR8" s="2405"/>
      <c r="BS8" s="2406"/>
      <c r="BT8" s="2407"/>
      <c r="BU8" s="2408"/>
      <c r="BV8" s="2408"/>
      <c r="BW8" s="2408"/>
      <c r="BX8" s="2408"/>
      <c r="BY8" s="2408"/>
      <c r="BZ8" s="2408"/>
      <c r="CA8" s="2408"/>
      <c r="CB8" s="2408"/>
      <c r="CC8" s="2408"/>
      <c r="CD8" s="2408"/>
      <c r="CE8" s="2408"/>
      <c r="CF8" s="2408"/>
      <c r="CG8" s="2408"/>
      <c r="CH8" s="2408"/>
      <c r="CI8" s="2408"/>
      <c r="CJ8" s="2408"/>
      <c r="CK8" s="2408"/>
      <c r="CL8" s="2408"/>
      <c r="CM8" s="2408"/>
      <c r="CN8" s="2408"/>
      <c r="CO8" s="2408"/>
      <c r="CP8" s="2408"/>
      <c r="CQ8" s="2408"/>
      <c r="CR8" s="2408"/>
      <c r="CS8" s="2408"/>
      <c r="CT8" s="2408"/>
      <c r="CU8" s="2408"/>
      <c r="CV8" s="2408"/>
      <c r="CW8" s="2408"/>
      <c r="CX8" s="2409"/>
      <c r="CY8" s="2410"/>
      <c r="CZ8" s="2411"/>
      <c r="DA8" s="2411"/>
      <c r="DB8" s="2411"/>
      <c r="DC8" s="2411"/>
      <c r="DD8" s="2411"/>
      <c r="DE8" s="2411"/>
      <c r="DF8" s="2411"/>
      <c r="DG8" s="2411"/>
      <c r="DH8" s="2411"/>
      <c r="DI8" s="2411"/>
      <c r="DJ8" s="2411"/>
      <c r="DK8" s="2411"/>
      <c r="DL8" s="2411"/>
      <c r="DM8" s="2411"/>
      <c r="DN8" s="2411"/>
      <c r="DO8" s="2411"/>
      <c r="DP8" s="2411"/>
      <c r="DQ8" s="2411"/>
      <c r="DR8" s="2411"/>
      <c r="DS8" s="2411"/>
      <c r="DT8" s="2411"/>
      <c r="DU8" s="2411"/>
      <c r="DV8" s="2411"/>
      <c r="DW8" s="2411"/>
      <c r="DX8" s="2412"/>
      <c r="DY8" s="2398" t="s">
        <v>1085</v>
      </c>
      <c r="DZ8" s="2399"/>
      <c r="EA8" s="2399"/>
      <c r="EB8" s="2399"/>
      <c r="EC8" s="2399"/>
      <c r="ED8" s="2399"/>
      <c r="EE8" s="2399"/>
      <c r="EF8" s="2399"/>
      <c r="EG8" s="2399"/>
      <c r="EH8" s="2399"/>
      <c r="EI8" s="2399"/>
      <c r="EJ8" s="2399"/>
      <c r="EK8" s="2399"/>
      <c r="EL8" s="2399"/>
      <c r="EM8" s="2399"/>
      <c r="EN8" s="2399"/>
      <c r="EO8" s="2399"/>
      <c r="EP8" s="2399"/>
      <c r="EQ8" s="2399"/>
      <c r="ER8" s="2399"/>
      <c r="ES8" s="2399"/>
      <c r="ET8" s="2399"/>
      <c r="EU8" s="2399"/>
      <c r="EV8" s="2399"/>
      <c r="EW8" s="2399"/>
      <c r="EX8" s="2399"/>
      <c r="EY8" s="2399"/>
      <c r="EZ8" s="2399"/>
      <c r="FA8" s="2399"/>
      <c r="FB8" s="2399"/>
      <c r="FC8" s="2399"/>
      <c r="FD8" s="2399"/>
      <c r="FE8" s="2399"/>
      <c r="FF8" s="2399"/>
      <c r="FG8" s="2399"/>
      <c r="FH8" s="2399"/>
      <c r="FI8" s="2399"/>
      <c r="FJ8" s="2399"/>
      <c r="FK8" s="2399"/>
      <c r="FL8" s="2399"/>
      <c r="FM8" s="2399"/>
      <c r="FN8" s="2399"/>
      <c r="FO8" s="2399"/>
      <c r="FP8" s="2399"/>
      <c r="FQ8" s="2399"/>
      <c r="FR8" s="2399"/>
      <c r="FS8" s="2399"/>
      <c r="FT8" s="2399"/>
      <c r="FU8" s="2399"/>
      <c r="FV8" s="2399"/>
      <c r="FW8" s="240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01"/>
      <c r="FX9" s="986"/>
      <c r="GC9" s="863">
        <v>0</v>
      </c>
    </row>
    <row r="10" spans="2:185" s="863" customFormat="1" ht="11.45" customHeight="1">
      <c r="B10" s="864"/>
      <c r="F10" s="2377" t="s">
        <v>306</v>
      </c>
      <c r="G10" s="2414"/>
      <c r="H10" s="2414"/>
      <c r="I10" s="2414"/>
      <c r="J10" s="2414"/>
      <c r="K10" s="2414"/>
      <c r="L10" s="2414"/>
      <c r="M10" s="2414"/>
      <c r="N10" s="2414"/>
      <c r="O10" s="2414"/>
      <c r="P10" s="2414"/>
      <c r="Q10" s="2414"/>
      <c r="R10" s="2414"/>
      <c r="S10" s="2414"/>
      <c r="T10" s="2414"/>
      <c r="U10" s="2414"/>
      <c r="V10" s="2414"/>
      <c r="W10" s="2414"/>
      <c r="X10" s="2414"/>
      <c r="Y10" s="2414"/>
      <c r="Z10" s="2414"/>
      <c r="AA10" s="2414"/>
      <c r="AB10" s="2414"/>
      <c r="AC10" s="2414"/>
      <c r="AD10" s="2414"/>
      <c r="AE10" s="2414"/>
      <c r="AF10" s="2414"/>
      <c r="AG10" s="2414"/>
      <c r="AH10" s="2414"/>
      <c r="AI10" s="2414"/>
      <c r="AJ10" s="2414"/>
      <c r="AK10" s="2414"/>
      <c r="AL10" s="2414"/>
      <c r="AM10" s="2414"/>
      <c r="AN10" s="2414"/>
      <c r="AO10" s="2414"/>
      <c r="AP10" s="2414"/>
      <c r="AQ10" s="2414"/>
      <c r="AR10" s="2414"/>
      <c r="AS10" s="2414"/>
      <c r="AT10" s="2414"/>
      <c r="AU10" s="2414"/>
      <c r="AV10" s="2414"/>
      <c r="AW10" s="2414"/>
      <c r="AX10" s="2414"/>
      <c r="AY10" s="2414"/>
      <c r="AZ10" s="2414"/>
      <c r="BA10" s="2414"/>
      <c r="BB10" s="2414"/>
      <c r="BC10" s="2414"/>
      <c r="BD10" s="2414"/>
      <c r="BE10" s="2414"/>
      <c r="BF10" s="2414"/>
      <c r="BG10" s="2414"/>
      <c r="BH10" s="2414"/>
      <c r="BI10" s="2414"/>
      <c r="BJ10" s="2414"/>
      <c r="BK10" s="2414"/>
      <c r="BL10" s="2414"/>
      <c r="BM10" s="2414"/>
      <c r="BN10" s="2414"/>
      <c r="BO10" s="2414"/>
      <c r="BP10" s="2414"/>
      <c r="BQ10" s="2414"/>
      <c r="BR10" s="2414"/>
      <c r="BS10" s="2414"/>
      <c r="BT10" s="2414"/>
      <c r="BU10" s="2414"/>
      <c r="BV10" s="2414"/>
      <c r="BW10" s="2414"/>
      <c r="BX10" s="2414"/>
      <c r="BY10" s="2414"/>
      <c r="BZ10" s="2414"/>
      <c r="CA10" s="2414"/>
      <c r="CB10" s="2414"/>
      <c r="CC10" s="2414"/>
      <c r="CD10" s="2414"/>
      <c r="CE10" s="2414"/>
      <c r="CF10" s="2414"/>
      <c r="CG10" s="2414"/>
      <c r="CH10" s="2414"/>
      <c r="CI10" s="2414"/>
      <c r="CJ10" s="2414"/>
      <c r="CK10" s="2414"/>
      <c r="CL10" s="2414"/>
      <c r="CM10" s="2414"/>
      <c r="CN10" s="2414"/>
      <c r="CO10" s="2414"/>
      <c r="CP10" s="2414"/>
      <c r="CQ10" s="2414"/>
      <c r="CR10" s="2414"/>
      <c r="CS10" s="2414"/>
      <c r="CT10" s="2414"/>
      <c r="CU10" s="2414"/>
      <c r="CV10" s="2414"/>
      <c r="CW10" s="2414"/>
      <c r="CX10" s="2414"/>
      <c r="CY10" s="2414"/>
      <c r="CZ10" s="2414"/>
      <c r="DA10" s="2414"/>
      <c r="DB10" s="2414"/>
      <c r="DC10" s="2414"/>
      <c r="DD10" s="2414"/>
      <c r="DE10" s="2414"/>
      <c r="DF10" s="2414"/>
      <c r="DG10" s="2414"/>
      <c r="DH10" s="2414"/>
      <c r="DI10" s="2414"/>
      <c r="DJ10" s="2414"/>
      <c r="DK10" s="2414"/>
      <c r="DL10" s="2414"/>
      <c r="DM10" s="2414"/>
      <c r="DN10" s="2414"/>
      <c r="DO10" s="2414"/>
      <c r="DP10" s="2414"/>
      <c r="DQ10" s="2414"/>
      <c r="DR10" s="2414"/>
      <c r="DS10" s="2414"/>
      <c r="DT10" s="2414"/>
      <c r="DU10" s="2414"/>
      <c r="DV10" s="2414"/>
      <c r="DW10" s="2414"/>
      <c r="DX10" s="2414"/>
      <c r="DY10" s="2414"/>
      <c r="DZ10" s="2414"/>
      <c r="EA10" s="2414"/>
      <c r="EB10" s="2414"/>
      <c r="EC10" s="2414"/>
      <c r="ED10" s="2414"/>
      <c r="EE10" s="2414"/>
      <c r="EF10" s="2414"/>
      <c r="EG10" s="2414"/>
      <c r="EH10" s="2414"/>
      <c r="EI10" s="2414"/>
      <c r="EJ10" s="2414"/>
      <c r="EK10" s="2414"/>
      <c r="EL10" s="2414"/>
      <c r="EM10" s="2414"/>
      <c r="EN10" s="2414"/>
      <c r="EO10" s="2414"/>
      <c r="EP10" s="2414"/>
      <c r="EQ10" s="2414"/>
      <c r="ER10" s="2414"/>
      <c r="ES10" s="2414"/>
      <c r="ET10" s="2414"/>
      <c r="EU10" s="2414"/>
      <c r="EV10" s="2414"/>
      <c r="EW10" s="2414"/>
      <c r="EX10" s="2414"/>
      <c r="EY10" s="2414"/>
      <c r="EZ10" s="2414"/>
      <c r="FA10" s="2414"/>
      <c r="FB10" s="2414"/>
      <c r="FC10" s="2414"/>
      <c r="FD10" s="2414"/>
      <c r="FE10" s="2414"/>
      <c r="FF10" s="2414"/>
      <c r="FG10" s="2414"/>
      <c r="FH10" s="2414"/>
      <c r="FI10" s="2414"/>
      <c r="FJ10" s="2414"/>
      <c r="FK10" s="2414"/>
      <c r="FL10" s="2414"/>
      <c r="FM10" s="2414"/>
      <c r="FN10" s="2414"/>
      <c r="FO10" s="2414"/>
      <c r="FP10" s="2414"/>
      <c r="FQ10" s="2414"/>
      <c r="FR10" s="2414"/>
      <c r="FS10" s="2414"/>
      <c r="FT10" s="2414"/>
      <c r="FU10" s="2414"/>
      <c r="FV10" s="2415"/>
      <c r="FW10" s="2401"/>
      <c r="FX10" s="986"/>
      <c r="GC10" s="863">
        <v>11</v>
      </c>
    </row>
    <row r="11" spans="2:185" ht="12.75" customHeight="1">
      <c r="E11" s="867"/>
      <c r="F11" s="2208" t="s">
        <v>88</v>
      </c>
      <c r="G11" s="2208" t="s">
        <v>1086</v>
      </c>
      <c r="H11" s="2208" t="s">
        <v>1087</v>
      </c>
      <c r="I11" s="2208" t="s">
        <v>1088</v>
      </c>
      <c r="J11" s="2413"/>
      <c r="K11" s="2413"/>
      <c r="L11" s="2413"/>
      <c r="M11" s="2413"/>
      <c r="N11" s="2413"/>
      <c r="O11" s="2212" t="s">
        <v>1089</v>
      </c>
      <c r="P11" s="2212"/>
      <c r="Q11" s="2212"/>
      <c r="R11" s="2212"/>
      <c r="S11" s="2212"/>
      <c r="T11" s="2212"/>
      <c r="U11" s="2212"/>
      <c r="V11" s="2212"/>
      <c r="W11" s="2212"/>
      <c r="X11" s="2212"/>
      <c r="Y11" s="2212"/>
      <c r="Z11" s="2212"/>
      <c r="AA11" s="2212"/>
      <c r="AB11" s="2212"/>
      <c r="AC11" s="2396"/>
      <c r="AD11" s="2396"/>
      <c r="AE11" s="2396"/>
      <c r="AF11" s="2396"/>
      <c r="AG11" s="2396"/>
      <c r="AH11" s="2396"/>
      <c r="AI11" s="2396"/>
      <c r="AJ11" s="2396"/>
      <c r="AK11" s="2396"/>
      <c r="AL11" s="2396"/>
      <c r="AM11" s="2396"/>
      <c r="AN11" s="2396"/>
      <c r="AO11" s="2396"/>
      <c r="AP11" s="2396"/>
      <c r="AQ11" s="2396"/>
      <c r="AR11" s="2396"/>
      <c r="AS11" s="2396"/>
      <c r="AT11" s="2396"/>
      <c r="AU11" s="2396"/>
      <c r="AV11" s="2396"/>
      <c r="AW11" s="2396"/>
      <c r="AX11" s="2396"/>
      <c r="AY11" s="2396"/>
      <c r="AZ11" s="2396"/>
      <c r="BA11" s="2396"/>
      <c r="BB11" s="2396"/>
      <c r="BC11" s="2396"/>
      <c r="BD11" s="2396"/>
      <c r="BE11" s="2396"/>
      <c r="BF11" s="2396"/>
      <c r="BG11" s="2396"/>
      <c r="BH11" s="2396"/>
      <c r="BI11" s="2396"/>
      <c r="BJ11" s="2396"/>
      <c r="BK11" s="2396"/>
      <c r="BL11" s="2396"/>
      <c r="BM11" s="2396"/>
      <c r="BN11" s="2396"/>
      <c r="BO11" s="2396"/>
      <c r="BP11" s="2396"/>
      <c r="BQ11" s="2396"/>
      <c r="BR11" s="2396"/>
      <c r="BS11" s="2397"/>
      <c r="BT11" s="2363" t="s">
        <v>1089</v>
      </c>
      <c r="BU11" s="2364"/>
      <c r="BV11" s="2364"/>
      <c r="BW11" s="2364"/>
      <c r="BX11" s="2364"/>
      <c r="BY11" s="2364"/>
      <c r="BZ11" s="2364"/>
      <c r="CA11" s="2364"/>
      <c r="CB11" s="2364"/>
      <c r="CC11" s="2364"/>
      <c r="CD11" s="2364"/>
      <c r="CE11" s="2364"/>
      <c r="CF11" s="2364"/>
      <c r="CG11" s="2364"/>
      <c r="CH11" s="2364"/>
      <c r="CI11" s="2364"/>
      <c r="CJ11" s="2364"/>
      <c r="CK11" s="2395"/>
      <c r="CL11" s="2403"/>
      <c r="CM11" s="2396"/>
      <c r="CN11" s="2396"/>
      <c r="CO11" s="2396"/>
      <c r="CP11" s="2396"/>
      <c r="CQ11" s="2396"/>
      <c r="CR11" s="2396"/>
      <c r="CS11" s="2396"/>
      <c r="CT11" s="2396"/>
      <c r="CU11" s="2396"/>
      <c r="CV11" s="2396"/>
      <c r="CW11" s="2396"/>
      <c r="CX11" s="2397"/>
      <c r="CY11" s="2363" t="s">
        <v>1089</v>
      </c>
      <c r="CZ11" s="2364"/>
      <c r="DA11" s="2364"/>
      <c r="DB11" s="2364"/>
      <c r="DC11" s="2364"/>
      <c r="DD11" s="2364"/>
      <c r="DE11" s="2364"/>
      <c r="DF11" s="2364"/>
      <c r="DG11" s="2364"/>
      <c r="DH11" s="2364"/>
      <c r="DI11" s="2364"/>
      <c r="DJ11" s="2395"/>
      <c r="DK11" s="2403"/>
      <c r="DL11" s="2396"/>
      <c r="DM11" s="2396"/>
      <c r="DN11" s="2396"/>
      <c r="DO11" s="2396"/>
      <c r="DP11" s="2396"/>
      <c r="DQ11" s="2396"/>
      <c r="DR11" s="2396"/>
      <c r="DS11" s="2396"/>
      <c r="DT11" s="2396"/>
      <c r="DU11" s="2396"/>
      <c r="DV11" s="2396"/>
      <c r="DW11" s="2396"/>
      <c r="DX11" s="2396"/>
      <c r="DY11" s="2396"/>
      <c r="DZ11" s="2396"/>
      <c r="EA11" s="2396"/>
      <c r="EB11" s="2396"/>
      <c r="EC11" s="2396"/>
      <c r="ED11" s="2396"/>
      <c r="EE11" s="2396"/>
      <c r="EF11" s="2396"/>
      <c r="EG11" s="2396"/>
      <c r="EH11" s="2396"/>
      <c r="EI11" s="2396"/>
      <c r="EJ11" s="2396"/>
      <c r="EK11" s="2396"/>
      <c r="EL11" s="2396"/>
      <c r="EM11" s="2396"/>
      <c r="EN11" s="2396"/>
      <c r="EO11" s="2396"/>
      <c r="EP11" s="2396"/>
      <c r="EQ11" s="2396"/>
      <c r="ER11" s="2396"/>
      <c r="ES11" s="2396"/>
      <c r="ET11" s="2396"/>
      <c r="EU11" s="2396"/>
      <c r="EV11" s="2396"/>
      <c r="EW11" s="2396"/>
      <c r="EX11" s="2396"/>
      <c r="EY11" s="2396"/>
      <c r="EZ11" s="2396"/>
      <c r="FA11" s="2396"/>
      <c r="FB11" s="2396"/>
      <c r="FC11" s="2396"/>
      <c r="FD11" s="2396"/>
      <c r="FE11" s="2396"/>
      <c r="FF11" s="2396"/>
      <c r="FG11" s="2396"/>
      <c r="FH11" s="2396"/>
      <c r="FI11" s="2396"/>
      <c r="FJ11" s="2396"/>
      <c r="FK11" s="2396"/>
      <c r="FL11" s="2396"/>
      <c r="FM11" s="2396"/>
      <c r="FN11" s="2396"/>
      <c r="FO11" s="2396"/>
      <c r="FP11" s="2396"/>
      <c r="FQ11" s="2396"/>
      <c r="FR11" s="2396"/>
      <c r="FS11" s="2396"/>
      <c r="FT11" s="2396"/>
      <c r="FU11" s="2396"/>
      <c r="FV11" s="2396"/>
      <c r="FW11" s="2401"/>
      <c r="FX11" s="697"/>
      <c r="GC11" s="856">
        <v>12</v>
      </c>
    </row>
    <row r="12" spans="2:185" ht="12.75" customHeight="1">
      <c r="D12" s="868"/>
      <c r="E12" s="867"/>
      <c r="F12" s="2208"/>
      <c r="G12" s="2208"/>
      <c r="H12" s="2208"/>
      <c r="I12" s="2208"/>
      <c r="J12" s="2413"/>
      <c r="K12" s="2413"/>
      <c r="L12" s="2413"/>
      <c r="M12" s="2413"/>
      <c r="N12" s="2413"/>
      <c r="O12" s="2212" t="s">
        <v>1090</v>
      </c>
      <c r="P12" s="2212"/>
      <c r="Q12" s="2212"/>
      <c r="R12" s="2212"/>
      <c r="S12" s="2212" t="s">
        <v>1091</v>
      </c>
      <c r="T12" s="2212"/>
      <c r="U12" s="2212"/>
      <c r="V12" s="2212"/>
      <c r="W12" s="2212"/>
      <c r="X12" s="2212"/>
      <c r="Y12" s="2212"/>
      <c r="Z12" s="2212"/>
      <c r="AA12" s="2212"/>
      <c r="AB12" s="2212"/>
      <c r="AC12" s="2396"/>
      <c r="AD12" s="2396"/>
      <c r="AE12" s="2396"/>
      <c r="AF12" s="2396"/>
      <c r="AG12" s="2396"/>
      <c r="AH12" s="2396"/>
      <c r="AI12" s="2396"/>
      <c r="AJ12" s="2396"/>
      <c r="AK12" s="2396"/>
      <c r="AL12" s="2396"/>
      <c r="AM12" s="2396"/>
      <c r="AN12" s="2396"/>
      <c r="AO12" s="2396"/>
      <c r="AP12" s="2396"/>
      <c r="AQ12" s="2396"/>
      <c r="AR12" s="2396"/>
      <c r="AS12" s="2396"/>
      <c r="AT12" s="2396"/>
      <c r="AU12" s="2396"/>
      <c r="AV12" s="2396"/>
      <c r="AW12" s="2396"/>
      <c r="AX12" s="2396"/>
      <c r="AY12" s="2396"/>
      <c r="AZ12" s="2396"/>
      <c r="BA12" s="2396"/>
      <c r="BB12" s="2396"/>
      <c r="BC12" s="2396"/>
      <c r="BD12" s="2396"/>
      <c r="BE12" s="2396"/>
      <c r="BF12" s="2396"/>
      <c r="BG12" s="2396"/>
      <c r="BH12" s="2396"/>
      <c r="BI12" s="2396"/>
      <c r="BJ12" s="2396"/>
      <c r="BK12" s="2396"/>
      <c r="BL12" s="2396"/>
      <c r="BM12" s="2396"/>
      <c r="BN12" s="2396"/>
      <c r="BO12" s="2396"/>
      <c r="BP12" s="2396"/>
      <c r="BQ12" s="2396"/>
      <c r="BR12" s="2396"/>
      <c r="BS12" s="2397"/>
      <c r="BT12" s="2363" t="s">
        <v>1092</v>
      </c>
      <c r="BU12" s="2364"/>
      <c r="BV12" s="2364"/>
      <c r="BW12" s="2395"/>
      <c r="BX12" s="2363" t="s">
        <v>1093</v>
      </c>
      <c r="BY12" s="2364"/>
      <c r="BZ12" s="2364"/>
      <c r="CA12" s="2395"/>
      <c r="CB12" s="2363" t="s">
        <v>1094</v>
      </c>
      <c r="CC12" s="2395"/>
      <c r="CD12" s="2363" t="s">
        <v>1095</v>
      </c>
      <c r="CE12" s="2364"/>
      <c r="CF12" s="2364"/>
      <c r="CG12" s="2364"/>
      <c r="CH12" s="2364"/>
      <c r="CI12" s="2364"/>
      <c r="CJ12" s="2364"/>
      <c r="CK12" s="2395"/>
      <c r="CL12" s="2403"/>
      <c r="CM12" s="2396"/>
      <c r="CN12" s="2396"/>
      <c r="CO12" s="2396"/>
      <c r="CP12" s="2396"/>
      <c r="CQ12" s="2396"/>
      <c r="CR12" s="2396"/>
      <c r="CS12" s="2396"/>
      <c r="CT12" s="2396"/>
      <c r="CU12" s="2396"/>
      <c r="CV12" s="2396"/>
      <c r="CW12" s="2396"/>
      <c r="CX12" s="2397"/>
      <c r="CY12" s="2363" t="s">
        <v>1096</v>
      </c>
      <c r="CZ12" s="2364"/>
      <c r="DA12" s="2364"/>
      <c r="DB12" s="2364"/>
      <c r="DC12" s="2364"/>
      <c r="DD12" s="2395"/>
      <c r="DE12" s="2363" t="s">
        <v>1097</v>
      </c>
      <c r="DF12" s="2395"/>
      <c r="DG12" s="2363" t="s">
        <v>1095</v>
      </c>
      <c r="DH12" s="2364"/>
      <c r="DI12" s="2364"/>
      <c r="DJ12" s="2395"/>
      <c r="DK12" s="2403"/>
      <c r="DL12" s="2396"/>
      <c r="DM12" s="2396"/>
      <c r="DN12" s="2396"/>
      <c r="DO12" s="2396"/>
      <c r="DP12" s="2396"/>
      <c r="DQ12" s="2396"/>
      <c r="DR12" s="2396"/>
      <c r="DS12" s="2396"/>
      <c r="DT12" s="2396"/>
      <c r="DU12" s="2396"/>
      <c r="DV12" s="2396"/>
      <c r="DW12" s="2396"/>
      <c r="DX12" s="2396"/>
      <c r="DY12" s="2396"/>
      <c r="DZ12" s="2396"/>
      <c r="EA12" s="2396"/>
      <c r="EB12" s="2396"/>
      <c r="EC12" s="2396"/>
      <c r="ED12" s="2396"/>
      <c r="EE12" s="2396"/>
      <c r="EF12" s="2396"/>
      <c r="EG12" s="2396"/>
      <c r="EH12" s="2396"/>
      <c r="EI12" s="2396"/>
      <c r="EJ12" s="2396"/>
      <c r="EK12" s="2396"/>
      <c r="EL12" s="2396"/>
      <c r="EM12" s="2396"/>
      <c r="EN12" s="2396"/>
      <c r="EO12" s="2396"/>
      <c r="EP12" s="2396"/>
      <c r="EQ12" s="2396"/>
      <c r="ER12" s="2396"/>
      <c r="ES12" s="2396"/>
      <c r="ET12" s="2396"/>
      <c r="EU12" s="2396"/>
      <c r="EV12" s="2396"/>
      <c r="EW12" s="2396"/>
      <c r="EX12" s="2396"/>
      <c r="EY12" s="2396"/>
      <c r="EZ12" s="2396"/>
      <c r="FA12" s="2396"/>
      <c r="FB12" s="2396"/>
      <c r="FC12" s="2396"/>
      <c r="FD12" s="2396"/>
      <c r="FE12" s="2396"/>
      <c r="FF12" s="2396"/>
      <c r="FG12" s="2396"/>
      <c r="FH12" s="2396"/>
      <c r="FI12" s="2396"/>
      <c r="FJ12" s="2396"/>
      <c r="FK12" s="2396"/>
      <c r="FL12" s="2396"/>
      <c r="FM12" s="2396"/>
      <c r="FN12" s="2396"/>
      <c r="FO12" s="2396"/>
      <c r="FP12" s="2396"/>
      <c r="FQ12" s="2396"/>
      <c r="FR12" s="2396"/>
      <c r="FS12" s="2396"/>
      <c r="FT12" s="2396"/>
      <c r="FU12" s="2396"/>
      <c r="FV12" s="2396"/>
      <c r="FW12" s="2401"/>
      <c r="FX12" s="697"/>
      <c r="GC12" s="856">
        <v>12</v>
      </c>
    </row>
    <row r="13" spans="2:185" ht="37.9" customHeight="1">
      <c r="D13" s="868"/>
      <c r="E13" s="867"/>
      <c r="F13" s="2208"/>
      <c r="G13" s="2208"/>
      <c r="H13" s="2208"/>
      <c r="I13" s="2208"/>
      <c r="J13" s="2413"/>
      <c r="K13" s="2413"/>
      <c r="L13" s="2413"/>
      <c r="M13" s="2413"/>
      <c r="N13" s="2413"/>
      <c r="O13" s="2212" t="s">
        <v>1098</v>
      </c>
      <c r="P13" s="2212"/>
      <c r="Q13" s="2212"/>
      <c r="R13" s="2212"/>
      <c r="S13" s="2322" t="s">
        <v>1099</v>
      </c>
      <c r="T13" s="2365"/>
      <c r="U13" s="2116" t="s">
        <v>1100</v>
      </c>
      <c r="V13" s="2116"/>
      <c r="W13" s="2116"/>
      <c r="X13" s="2116"/>
      <c r="Y13" s="2116" t="s">
        <v>1101</v>
      </c>
      <c r="Z13" s="2116"/>
      <c r="AA13" s="2116"/>
      <c r="AB13" s="2116"/>
      <c r="AC13" s="2396"/>
      <c r="AD13" s="2396"/>
      <c r="AE13" s="2396"/>
      <c r="AF13" s="2396"/>
      <c r="AG13" s="2396"/>
      <c r="AH13" s="2396"/>
      <c r="AI13" s="2396"/>
      <c r="AJ13" s="2396"/>
      <c r="AK13" s="2396"/>
      <c r="AL13" s="2396"/>
      <c r="AM13" s="2396"/>
      <c r="AN13" s="2396"/>
      <c r="AO13" s="2396"/>
      <c r="AP13" s="2396"/>
      <c r="AQ13" s="2396"/>
      <c r="AR13" s="2396"/>
      <c r="AS13" s="2396"/>
      <c r="AT13" s="2396"/>
      <c r="AU13" s="2396"/>
      <c r="AV13" s="2396"/>
      <c r="AW13" s="2396"/>
      <c r="AX13" s="2396"/>
      <c r="AY13" s="2396"/>
      <c r="AZ13" s="2396"/>
      <c r="BA13" s="2396"/>
      <c r="BB13" s="2396"/>
      <c r="BC13" s="2396"/>
      <c r="BD13" s="2396"/>
      <c r="BE13" s="2396"/>
      <c r="BF13" s="2396"/>
      <c r="BG13" s="2396"/>
      <c r="BH13" s="2396"/>
      <c r="BI13" s="2396"/>
      <c r="BJ13" s="2396"/>
      <c r="BK13" s="2396"/>
      <c r="BL13" s="2396"/>
      <c r="BM13" s="2396"/>
      <c r="BN13" s="2396"/>
      <c r="BO13" s="2396"/>
      <c r="BP13" s="2396"/>
      <c r="BQ13" s="2396"/>
      <c r="BR13" s="2396"/>
      <c r="BS13" s="2397"/>
      <c r="BT13" s="2322" t="s">
        <v>1102</v>
      </c>
      <c r="BU13" s="2365"/>
      <c r="BV13" s="2322" t="s">
        <v>1103</v>
      </c>
      <c r="BW13" s="2365"/>
      <c r="BX13" s="2322" t="s">
        <v>1104</v>
      </c>
      <c r="BY13" s="2365"/>
      <c r="BZ13" s="2322" t="s">
        <v>1105</v>
      </c>
      <c r="CA13" s="2365"/>
      <c r="CB13" s="2322" t="s">
        <v>1106</v>
      </c>
      <c r="CC13" s="2365"/>
      <c r="CD13" s="2322" t="s">
        <v>1107</v>
      </c>
      <c r="CE13" s="2365"/>
      <c r="CF13" s="2322" t="s">
        <v>1108</v>
      </c>
      <c r="CG13" s="2365"/>
      <c r="CH13" s="2363" t="s">
        <v>1109</v>
      </c>
      <c r="CI13" s="2364"/>
      <c r="CJ13" s="2364"/>
      <c r="CK13" s="2395"/>
      <c r="CL13" s="2403"/>
      <c r="CM13" s="2396"/>
      <c r="CN13" s="2396"/>
      <c r="CO13" s="2396"/>
      <c r="CP13" s="2396"/>
      <c r="CQ13" s="2396"/>
      <c r="CR13" s="2396"/>
      <c r="CS13" s="2396"/>
      <c r="CT13" s="2396"/>
      <c r="CU13" s="2396"/>
      <c r="CV13" s="2396"/>
      <c r="CW13" s="2396"/>
      <c r="CX13" s="2397"/>
      <c r="CY13" s="2322" t="s">
        <v>1110</v>
      </c>
      <c r="CZ13" s="2365"/>
      <c r="DA13" s="2322" t="s">
        <v>1111</v>
      </c>
      <c r="DB13" s="2365"/>
      <c r="DC13" s="2322" t="s">
        <v>1112</v>
      </c>
      <c r="DD13" s="2365"/>
      <c r="DE13" s="2322" t="s">
        <v>1113</v>
      </c>
      <c r="DF13" s="2365"/>
      <c r="DG13" s="2363" t="s">
        <v>1114</v>
      </c>
      <c r="DH13" s="2364"/>
      <c r="DI13" s="2364"/>
      <c r="DJ13" s="2395"/>
      <c r="DK13" s="2403"/>
      <c r="DL13" s="2396"/>
      <c r="DM13" s="2396"/>
      <c r="DN13" s="2396"/>
      <c r="DO13" s="2396"/>
      <c r="DP13" s="2396"/>
      <c r="DQ13" s="2396"/>
      <c r="DR13" s="2396"/>
      <c r="DS13" s="2396"/>
      <c r="DT13" s="2396"/>
      <c r="DU13" s="2396"/>
      <c r="DV13" s="2396"/>
      <c r="DW13" s="2396"/>
      <c r="DX13" s="2396"/>
      <c r="DY13" s="2396"/>
      <c r="DZ13" s="2396"/>
      <c r="EA13" s="2396"/>
      <c r="EB13" s="2396"/>
      <c r="EC13" s="2396"/>
      <c r="ED13" s="2396"/>
      <c r="EE13" s="2396"/>
      <c r="EF13" s="2396"/>
      <c r="EG13" s="2396"/>
      <c r="EH13" s="2396"/>
      <c r="EI13" s="2396"/>
      <c r="EJ13" s="2396"/>
      <c r="EK13" s="2396"/>
      <c r="EL13" s="2396"/>
      <c r="EM13" s="2396"/>
      <c r="EN13" s="2396"/>
      <c r="EO13" s="2396"/>
      <c r="EP13" s="2396"/>
      <c r="EQ13" s="2396"/>
      <c r="ER13" s="2396"/>
      <c r="ES13" s="2396"/>
      <c r="ET13" s="2396"/>
      <c r="EU13" s="2396"/>
      <c r="EV13" s="2396"/>
      <c r="EW13" s="2396"/>
      <c r="EX13" s="2396"/>
      <c r="EY13" s="2396"/>
      <c r="EZ13" s="2396"/>
      <c r="FA13" s="2396"/>
      <c r="FB13" s="2396"/>
      <c r="FC13" s="2396"/>
      <c r="FD13" s="2396"/>
      <c r="FE13" s="2396"/>
      <c r="FF13" s="2396"/>
      <c r="FG13" s="2396"/>
      <c r="FH13" s="2396"/>
      <c r="FI13" s="2396"/>
      <c r="FJ13" s="2396"/>
      <c r="FK13" s="2396"/>
      <c r="FL13" s="2396"/>
      <c r="FM13" s="2396"/>
      <c r="FN13" s="2396"/>
      <c r="FO13" s="2396"/>
      <c r="FP13" s="2396"/>
      <c r="FQ13" s="2396"/>
      <c r="FR13" s="2396"/>
      <c r="FS13" s="2396"/>
      <c r="FT13" s="2396"/>
      <c r="FU13" s="2396"/>
      <c r="FV13" s="2396"/>
      <c r="FW13" s="2401"/>
      <c r="FX13" s="697"/>
      <c r="GC13" s="856">
        <v>36</v>
      </c>
    </row>
    <row r="14" spans="2:185" ht="37.9" customHeight="1">
      <c r="D14" s="868"/>
      <c r="E14" s="867"/>
      <c r="F14" s="2208"/>
      <c r="G14" s="2208"/>
      <c r="H14" s="2208"/>
      <c r="I14" s="2208"/>
      <c r="J14" s="2413"/>
      <c r="K14" s="2413"/>
      <c r="L14" s="2413"/>
      <c r="M14" s="2413"/>
      <c r="N14" s="2413"/>
      <c r="O14" s="2322" t="s">
        <v>1115</v>
      </c>
      <c r="P14" s="2365"/>
      <c r="Q14" s="2322" t="s">
        <v>1116</v>
      </c>
      <c r="R14" s="2365"/>
      <c r="S14" s="2323"/>
      <c r="T14" s="2216"/>
      <c r="U14" s="2322" t="s">
        <v>848</v>
      </c>
      <c r="V14" s="2365"/>
      <c r="W14" s="2322" t="s">
        <v>851</v>
      </c>
      <c r="X14" s="2365"/>
      <c r="Y14" s="2322" t="s">
        <v>848</v>
      </c>
      <c r="Z14" s="2365"/>
      <c r="AA14" s="2322" t="s">
        <v>858</v>
      </c>
      <c r="AB14" s="2365"/>
      <c r="AC14" s="2396"/>
      <c r="AD14" s="2396"/>
      <c r="AE14" s="2396"/>
      <c r="AF14" s="2396"/>
      <c r="AG14" s="2396"/>
      <c r="AH14" s="2396"/>
      <c r="AI14" s="2396"/>
      <c r="AJ14" s="2396"/>
      <c r="AK14" s="2396"/>
      <c r="AL14" s="2396"/>
      <c r="AM14" s="2396"/>
      <c r="AN14" s="2396"/>
      <c r="AO14" s="2396"/>
      <c r="AP14" s="2396"/>
      <c r="AQ14" s="2396"/>
      <c r="AR14" s="2396"/>
      <c r="AS14" s="2396"/>
      <c r="AT14" s="2396"/>
      <c r="AU14" s="2396"/>
      <c r="AV14" s="2396"/>
      <c r="AW14" s="2396"/>
      <c r="AX14" s="2396"/>
      <c r="AY14" s="2396"/>
      <c r="AZ14" s="2396"/>
      <c r="BA14" s="2396"/>
      <c r="BB14" s="2396"/>
      <c r="BC14" s="2396"/>
      <c r="BD14" s="2396"/>
      <c r="BE14" s="2396"/>
      <c r="BF14" s="2396"/>
      <c r="BG14" s="2396"/>
      <c r="BH14" s="2396"/>
      <c r="BI14" s="2396"/>
      <c r="BJ14" s="2396"/>
      <c r="BK14" s="2396"/>
      <c r="BL14" s="2396"/>
      <c r="BM14" s="2396"/>
      <c r="BN14" s="2396"/>
      <c r="BO14" s="2396"/>
      <c r="BP14" s="2396"/>
      <c r="BQ14" s="2396"/>
      <c r="BR14" s="2396"/>
      <c r="BS14" s="2397"/>
      <c r="BT14" s="2323"/>
      <c r="BU14" s="2216"/>
      <c r="BV14" s="2323"/>
      <c r="BW14" s="2216"/>
      <c r="BX14" s="2323"/>
      <c r="BY14" s="2216"/>
      <c r="BZ14" s="2323"/>
      <c r="CA14" s="2216"/>
      <c r="CB14" s="2323"/>
      <c r="CC14" s="2216"/>
      <c r="CD14" s="2323"/>
      <c r="CE14" s="2216"/>
      <c r="CF14" s="2323"/>
      <c r="CG14" s="2216"/>
      <c r="CH14" s="2322" t="s">
        <v>1117</v>
      </c>
      <c r="CI14" s="2365"/>
      <c r="CJ14" s="2322" t="s">
        <v>1118</v>
      </c>
      <c r="CK14" s="2365"/>
      <c r="CL14" s="2403"/>
      <c r="CM14" s="2396"/>
      <c r="CN14" s="2396"/>
      <c r="CO14" s="2396"/>
      <c r="CP14" s="2396"/>
      <c r="CQ14" s="2396"/>
      <c r="CR14" s="2396"/>
      <c r="CS14" s="2396"/>
      <c r="CT14" s="2396"/>
      <c r="CU14" s="2396"/>
      <c r="CV14" s="2396"/>
      <c r="CW14" s="2396"/>
      <c r="CX14" s="2397"/>
      <c r="CY14" s="2323"/>
      <c r="CZ14" s="2216"/>
      <c r="DA14" s="2323"/>
      <c r="DB14" s="2216"/>
      <c r="DC14" s="2323"/>
      <c r="DD14" s="2216"/>
      <c r="DE14" s="2323"/>
      <c r="DF14" s="2216"/>
      <c r="DG14" s="2322" t="s">
        <v>1119</v>
      </c>
      <c r="DH14" s="2365"/>
      <c r="DI14" s="2322" t="s">
        <v>1120</v>
      </c>
      <c r="DJ14" s="2365"/>
      <c r="DK14" s="2403"/>
      <c r="DL14" s="2396"/>
      <c r="DM14" s="2396"/>
      <c r="DN14" s="2396"/>
      <c r="DO14" s="2396"/>
      <c r="DP14" s="2396"/>
      <c r="DQ14" s="2396"/>
      <c r="DR14" s="2396"/>
      <c r="DS14" s="2396"/>
      <c r="DT14" s="2396"/>
      <c r="DU14" s="2396"/>
      <c r="DV14" s="2396"/>
      <c r="DW14" s="2396"/>
      <c r="DX14" s="2396"/>
      <c r="DY14" s="2396"/>
      <c r="DZ14" s="2396"/>
      <c r="EA14" s="2396"/>
      <c r="EB14" s="2396"/>
      <c r="EC14" s="2396"/>
      <c r="ED14" s="2396"/>
      <c r="EE14" s="2396"/>
      <c r="EF14" s="2396"/>
      <c r="EG14" s="2396"/>
      <c r="EH14" s="2396"/>
      <c r="EI14" s="2396"/>
      <c r="EJ14" s="2396"/>
      <c r="EK14" s="2396"/>
      <c r="EL14" s="2396"/>
      <c r="EM14" s="2396"/>
      <c r="EN14" s="2396"/>
      <c r="EO14" s="2396"/>
      <c r="EP14" s="2396"/>
      <c r="EQ14" s="2396"/>
      <c r="ER14" s="2396"/>
      <c r="ES14" s="2396"/>
      <c r="ET14" s="2396"/>
      <c r="EU14" s="2396"/>
      <c r="EV14" s="2396"/>
      <c r="EW14" s="2396"/>
      <c r="EX14" s="2396"/>
      <c r="EY14" s="2396"/>
      <c r="EZ14" s="2396"/>
      <c r="FA14" s="2396"/>
      <c r="FB14" s="2396"/>
      <c r="FC14" s="2396"/>
      <c r="FD14" s="2396"/>
      <c r="FE14" s="2396"/>
      <c r="FF14" s="2396"/>
      <c r="FG14" s="2396"/>
      <c r="FH14" s="2396"/>
      <c r="FI14" s="2396"/>
      <c r="FJ14" s="2396"/>
      <c r="FK14" s="2396"/>
      <c r="FL14" s="2396"/>
      <c r="FM14" s="2396"/>
      <c r="FN14" s="2396"/>
      <c r="FO14" s="2396"/>
      <c r="FP14" s="2396"/>
      <c r="FQ14" s="2396"/>
      <c r="FR14" s="2396"/>
      <c r="FS14" s="2396"/>
      <c r="FT14" s="2396"/>
      <c r="FU14" s="2396"/>
      <c r="FV14" s="2396"/>
      <c r="FW14" s="2401"/>
      <c r="FX14" s="697"/>
      <c r="GC14" s="856">
        <v>36</v>
      </c>
    </row>
    <row r="15" spans="2:185" ht="37.9" customHeight="1">
      <c r="D15" s="868"/>
      <c r="E15" s="867"/>
      <c r="F15" s="2208"/>
      <c r="G15" s="2208"/>
      <c r="H15" s="2208"/>
      <c r="I15" s="2208"/>
      <c r="J15" s="2413"/>
      <c r="K15" s="2413"/>
      <c r="L15" s="2413"/>
      <c r="M15" s="2413"/>
      <c r="N15" s="2413"/>
      <c r="O15" s="2324"/>
      <c r="P15" s="2382"/>
      <c r="Q15" s="2324"/>
      <c r="R15" s="2382"/>
      <c r="S15" s="2324"/>
      <c r="T15" s="2382"/>
      <c r="U15" s="2324"/>
      <c r="V15" s="2382"/>
      <c r="W15" s="2324"/>
      <c r="X15" s="2382"/>
      <c r="Y15" s="2324"/>
      <c r="Z15" s="2382"/>
      <c r="AA15" s="2324"/>
      <c r="AB15" s="2382"/>
      <c r="AC15" s="2396"/>
      <c r="AD15" s="2396"/>
      <c r="AE15" s="2396"/>
      <c r="AF15" s="2396"/>
      <c r="AG15" s="2396"/>
      <c r="AH15" s="2396"/>
      <c r="AI15" s="2396"/>
      <c r="AJ15" s="2396"/>
      <c r="AK15" s="2396"/>
      <c r="AL15" s="2396"/>
      <c r="AM15" s="2396"/>
      <c r="AN15" s="2396"/>
      <c r="AO15" s="2396"/>
      <c r="AP15" s="2396"/>
      <c r="AQ15" s="2396"/>
      <c r="AR15" s="2396"/>
      <c r="AS15" s="2396"/>
      <c r="AT15" s="2396"/>
      <c r="AU15" s="2396"/>
      <c r="AV15" s="2396"/>
      <c r="AW15" s="2396"/>
      <c r="AX15" s="2396"/>
      <c r="AY15" s="2396"/>
      <c r="AZ15" s="2396"/>
      <c r="BA15" s="2396"/>
      <c r="BB15" s="2396"/>
      <c r="BC15" s="2396"/>
      <c r="BD15" s="2396"/>
      <c r="BE15" s="2396"/>
      <c r="BF15" s="2396"/>
      <c r="BG15" s="2396"/>
      <c r="BH15" s="2396"/>
      <c r="BI15" s="2396"/>
      <c r="BJ15" s="2396"/>
      <c r="BK15" s="2396"/>
      <c r="BL15" s="2396"/>
      <c r="BM15" s="2396"/>
      <c r="BN15" s="2396"/>
      <c r="BO15" s="2396"/>
      <c r="BP15" s="2396"/>
      <c r="BQ15" s="2396"/>
      <c r="BR15" s="2396"/>
      <c r="BS15" s="2397"/>
      <c r="BT15" s="2324"/>
      <c r="BU15" s="2382"/>
      <c r="BV15" s="2324"/>
      <c r="BW15" s="2382"/>
      <c r="BX15" s="2324"/>
      <c r="BY15" s="2382"/>
      <c r="BZ15" s="2324"/>
      <c r="CA15" s="2382"/>
      <c r="CB15" s="2324"/>
      <c r="CC15" s="2382"/>
      <c r="CD15" s="2324"/>
      <c r="CE15" s="2382"/>
      <c r="CF15" s="2324"/>
      <c r="CG15" s="2382"/>
      <c r="CH15" s="2324"/>
      <c r="CI15" s="2382"/>
      <c r="CJ15" s="2324"/>
      <c r="CK15" s="2382"/>
      <c r="CL15" s="2403"/>
      <c r="CM15" s="2396"/>
      <c r="CN15" s="2396"/>
      <c r="CO15" s="2396"/>
      <c r="CP15" s="2396"/>
      <c r="CQ15" s="2396"/>
      <c r="CR15" s="2396"/>
      <c r="CS15" s="2396"/>
      <c r="CT15" s="2396"/>
      <c r="CU15" s="2396"/>
      <c r="CV15" s="2396"/>
      <c r="CW15" s="2396"/>
      <c r="CX15" s="2397"/>
      <c r="CY15" s="2324"/>
      <c r="CZ15" s="2382"/>
      <c r="DA15" s="2324"/>
      <c r="DB15" s="2382"/>
      <c r="DC15" s="2324"/>
      <c r="DD15" s="2382"/>
      <c r="DE15" s="2324"/>
      <c r="DF15" s="2382"/>
      <c r="DG15" s="2324"/>
      <c r="DH15" s="2382"/>
      <c r="DI15" s="2324"/>
      <c r="DJ15" s="2382"/>
      <c r="DK15" s="2403"/>
      <c r="DL15" s="2396"/>
      <c r="DM15" s="2396"/>
      <c r="DN15" s="2396"/>
      <c r="DO15" s="2396"/>
      <c r="DP15" s="2396"/>
      <c r="DQ15" s="2396"/>
      <c r="DR15" s="2396"/>
      <c r="DS15" s="2396"/>
      <c r="DT15" s="2396"/>
      <c r="DU15" s="2396"/>
      <c r="DV15" s="2396"/>
      <c r="DW15" s="2396"/>
      <c r="DX15" s="2396"/>
      <c r="DY15" s="2396"/>
      <c r="DZ15" s="2396"/>
      <c r="EA15" s="2396"/>
      <c r="EB15" s="2396"/>
      <c r="EC15" s="2396"/>
      <c r="ED15" s="2396"/>
      <c r="EE15" s="2396"/>
      <c r="EF15" s="2396"/>
      <c r="EG15" s="2396"/>
      <c r="EH15" s="2396"/>
      <c r="EI15" s="2396"/>
      <c r="EJ15" s="2396"/>
      <c r="EK15" s="2396"/>
      <c r="EL15" s="2396"/>
      <c r="EM15" s="2396"/>
      <c r="EN15" s="2396"/>
      <c r="EO15" s="2396"/>
      <c r="EP15" s="2396"/>
      <c r="EQ15" s="2396"/>
      <c r="ER15" s="2396"/>
      <c r="ES15" s="2396"/>
      <c r="ET15" s="2396"/>
      <c r="EU15" s="2396"/>
      <c r="EV15" s="2396"/>
      <c r="EW15" s="2396"/>
      <c r="EX15" s="2396"/>
      <c r="EY15" s="2396"/>
      <c r="EZ15" s="2396"/>
      <c r="FA15" s="2396"/>
      <c r="FB15" s="2396"/>
      <c r="FC15" s="2396"/>
      <c r="FD15" s="2396"/>
      <c r="FE15" s="2396"/>
      <c r="FF15" s="2396"/>
      <c r="FG15" s="2396"/>
      <c r="FH15" s="2396"/>
      <c r="FI15" s="2396"/>
      <c r="FJ15" s="2396"/>
      <c r="FK15" s="2396"/>
      <c r="FL15" s="2396"/>
      <c r="FM15" s="2396"/>
      <c r="FN15" s="2396"/>
      <c r="FO15" s="2396"/>
      <c r="FP15" s="2396"/>
      <c r="FQ15" s="2396"/>
      <c r="FR15" s="2396"/>
      <c r="FS15" s="2396"/>
      <c r="FT15" s="2396"/>
      <c r="FU15" s="2396"/>
      <c r="FV15" s="2396"/>
      <c r="FW15" s="2401"/>
      <c r="FX15" s="697"/>
      <c r="GC15" s="856">
        <v>36</v>
      </c>
    </row>
    <row r="16" spans="2:185" ht="12.75" customHeight="1">
      <c r="D16" s="868"/>
      <c r="E16" s="867"/>
      <c r="F16" s="2208"/>
      <c r="G16" s="2208"/>
      <c r="H16" s="2208"/>
      <c r="I16" s="2208"/>
      <c r="J16" s="2413"/>
      <c r="K16" s="2413"/>
      <c r="L16" s="2413"/>
      <c r="M16" s="2413"/>
      <c r="N16" s="2413"/>
      <c r="O16" s="2363" t="s">
        <v>838</v>
      </c>
      <c r="P16" s="2395"/>
      <c r="Q16" s="2363" t="s">
        <v>840</v>
      </c>
      <c r="R16" s="2395"/>
      <c r="S16" s="2363" t="s">
        <v>844</v>
      </c>
      <c r="T16" s="2395"/>
      <c r="U16" s="2363" t="s">
        <v>849</v>
      </c>
      <c r="V16" s="2395"/>
      <c r="W16" s="2363" t="s">
        <v>852</v>
      </c>
      <c r="X16" s="2395"/>
      <c r="Y16" s="2363" t="s">
        <v>856</v>
      </c>
      <c r="Z16" s="2395"/>
      <c r="AA16" s="2363" t="s">
        <v>859</v>
      </c>
      <c r="AB16" s="2395"/>
      <c r="AC16" s="2396"/>
      <c r="AD16" s="2396"/>
      <c r="AE16" s="2396"/>
      <c r="AF16" s="2396"/>
      <c r="AG16" s="2396"/>
      <c r="AH16" s="2396"/>
      <c r="AI16" s="2396"/>
      <c r="AJ16" s="2396"/>
      <c r="AK16" s="2396"/>
      <c r="AL16" s="2396"/>
      <c r="AM16" s="2396"/>
      <c r="AN16" s="2396"/>
      <c r="AO16" s="2396"/>
      <c r="AP16" s="2396"/>
      <c r="AQ16" s="2396"/>
      <c r="AR16" s="2396"/>
      <c r="AS16" s="2396"/>
      <c r="AT16" s="2396"/>
      <c r="AU16" s="2396"/>
      <c r="AV16" s="2396"/>
      <c r="AW16" s="2396"/>
      <c r="AX16" s="2396"/>
      <c r="AY16" s="2396"/>
      <c r="AZ16" s="2396"/>
      <c r="BA16" s="2396"/>
      <c r="BB16" s="2396"/>
      <c r="BC16" s="2396"/>
      <c r="BD16" s="2396"/>
      <c r="BE16" s="2396"/>
      <c r="BF16" s="2396"/>
      <c r="BG16" s="2396"/>
      <c r="BH16" s="2396"/>
      <c r="BI16" s="2396"/>
      <c r="BJ16" s="2396"/>
      <c r="BK16" s="2396"/>
      <c r="BL16" s="2396"/>
      <c r="BM16" s="2396"/>
      <c r="BN16" s="2396"/>
      <c r="BO16" s="2396"/>
      <c r="BP16" s="2396"/>
      <c r="BQ16" s="2396"/>
      <c r="BR16" s="2396"/>
      <c r="BS16" s="2397"/>
      <c r="BT16" s="2363" t="s">
        <v>571</v>
      </c>
      <c r="BU16" s="2395"/>
      <c r="BV16" s="2363" t="s">
        <v>571</v>
      </c>
      <c r="BW16" s="2395"/>
      <c r="BX16" s="2363" t="s">
        <v>571</v>
      </c>
      <c r="BY16" s="2395"/>
      <c r="BZ16" s="2363" t="s">
        <v>571</v>
      </c>
      <c r="CA16" s="2395"/>
      <c r="CB16" s="2363" t="s">
        <v>1121</v>
      </c>
      <c r="CC16" s="2395"/>
      <c r="CD16" s="2363" t="s">
        <v>571</v>
      </c>
      <c r="CE16" s="2395"/>
      <c r="CF16" s="2363" t="s">
        <v>1122</v>
      </c>
      <c r="CG16" s="2395"/>
      <c r="CH16" s="2363" t="s">
        <v>1123</v>
      </c>
      <c r="CI16" s="2395"/>
      <c r="CJ16" s="2363" t="s">
        <v>1123</v>
      </c>
      <c r="CK16" s="2395"/>
      <c r="CL16" s="2403"/>
      <c r="CM16" s="2396"/>
      <c r="CN16" s="2396"/>
      <c r="CO16" s="2396"/>
      <c r="CP16" s="2396"/>
      <c r="CQ16" s="2396"/>
      <c r="CR16" s="2396"/>
      <c r="CS16" s="2396"/>
      <c r="CT16" s="2396"/>
      <c r="CU16" s="2396"/>
      <c r="CV16" s="2396"/>
      <c r="CW16" s="2396"/>
      <c r="CX16" s="2397"/>
      <c r="CY16" s="2322" t="s">
        <v>571</v>
      </c>
      <c r="CZ16" s="2365"/>
      <c r="DA16" s="2322" t="s">
        <v>571</v>
      </c>
      <c r="DB16" s="2365"/>
      <c r="DC16" s="2322" t="s">
        <v>571</v>
      </c>
      <c r="DD16" s="2365"/>
      <c r="DE16" s="2363" t="s">
        <v>1121</v>
      </c>
      <c r="DF16" s="2395"/>
      <c r="DG16" s="2363" t="s">
        <v>1124</v>
      </c>
      <c r="DH16" s="2395"/>
      <c r="DI16" s="2363" t="s">
        <v>1124</v>
      </c>
      <c r="DJ16" s="2395"/>
      <c r="DK16" s="2403"/>
      <c r="DL16" s="2396"/>
      <c r="DM16" s="2396"/>
      <c r="DN16" s="2396"/>
      <c r="DO16" s="2396"/>
      <c r="DP16" s="2396"/>
      <c r="DQ16" s="2396"/>
      <c r="DR16" s="2396"/>
      <c r="DS16" s="2396"/>
      <c r="DT16" s="2396"/>
      <c r="DU16" s="2396"/>
      <c r="DV16" s="2396"/>
      <c r="DW16" s="2396"/>
      <c r="DX16" s="2396"/>
      <c r="DY16" s="2396"/>
      <c r="DZ16" s="2396"/>
      <c r="EA16" s="2396"/>
      <c r="EB16" s="2396"/>
      <c r="EC16" s="2396"/>
      <c r="ED16" s="2396"/>
      <c r="EE16" s="2396"/>
      <c r="EF16" s="2396"/>
      <c r="EG16" s="2396"/>
      <c r="EH16" s="2396"/>
      <c r="EI16" s="2396"/>
      <c r="EJ16" s="2396"/>
      <c r="EK16" s="2396"/>
      <c r="EL16" s="2396"/>
      <c r="EM16" s="2396"/>
      <c r="EN16" s="2396"/>
      <c r="EO16" s="2396"/>
      <c r="EP16" s="2396"/>
      <c r="EQ16" s="2396"/>
      <c r="ER16" s="2396"/>
      <c r="ES16" s="2396"/>
      <c r="ET16" s="2396"/>
      <c r="EU16" s="2396"/>
      <c r="EV16" s="2396"/>
      <c r="EW16" s="2396"/>
      <c r="EX16" s="2396"/>
      <c r="EY16" s="2396"/>
      <c r="EZ16" s="2396"/>
      <c r="FA16" s="2396"/>
      <c r="FB16" s="2396"/>
      <c r="FC16" s="2396"/>
      <c r="FD16" s="2396"/>
      <c r="FE16" s="2396"/>
      <c r="FF16" s="2396"/>
      <c r="FG16" s="2396"/>
      <c r="FH16" s="2396"/>
      <c r="FI16" s="2396"/>
      <c r="FJ16" s="2396"/>
      <c r="FK16" s="2396"/>
      <c r="FL16" s="2396"/>
      <c r="FM16" s="2396"/>
      <c r="FN16" s="2396"/>
      <c r="FO16" s="2396"/>
      <c r="FP16" s="2396"/>
      <c r="FQ16" s="2396"/>
      <c r="FR16" s="2396"/>
      <c r="FS16" s="2396"/>
      <c r="FT16" s="2396"/>
      <c r="FU16" s="2396"/>
      <c r="FV16" s="2396"/>
      <c r="FW16" s="2401"/>
      <c r="FX16" s="697"/>
      <c r="GC16" s="856">
        <v>12</v>
      </c>
    </row>
    <row r="17" spans="1:185" ht="15.75" customHeight="1">
      <c r="E17" s="867"/>
      <c r="F17" s="2208"/>
      <c r="G17" s="2208"/>
      <c r="H17" s="2208"/>
      <c r="I17" s="2208"/>
      <c r="J17" s="2413"/>
      <c r="K17" s="2413"/>
      <c r="L17" s="2413"/>
      <c r="M17" s="2413"/>
      <c r="N17" s="2413"/>
      <c r="O17" s="1118" t="s">
        <v>1125</v>
      </c>
      <c r="P17" s="1118" t="s">
        <v>1126</v>
      </c>
      <c r="Q17" s="1118" t="s">
        <v>1125</v>
      </c>
      <c r="R17" s="1118" t="s">
        <v>1126</v>
      </c>
      <c r="S17" s="1118" t="s">
        <v>1125</v>
      </c>
      <c r="T17" s="1118" t="s">
        <v>1126</v>
      </c>
      <c r="U17" s="1118" t="s">
        <v>1125</v>
      </c>
      <c r="V17" s="1118" t="s">
        <v>1126</v>
      </c>
      <c r="W17" s="1118" t="s">
        <v>1125</v>
      </c>
      <c r="X17" s="1118" t="s">
        <v>1126</v>
      </c>
      <c r="Y17" s="1118" t="s">
        <v>1125</v>
      </c>
      <c r="Z17" s="1118" t="s">
        <v>1126</v>
      </c>
      <c r="AA17" s="1118" t="s">
        <v>1125</v>
      </c>
      <c r="AB17" s="1118" t="s">
        <v>1126</v>
      </c>
      <c r="AC17" s="2396"/>
      <c r="AD17" s="2396"/>
      <c r="AE17" s="2396"/>
      <c r="AF17" s="2396"/>
      <c r="AG17" s="2396"/>
      <c r="AH17" s="2396"/>
      <c r="AI17" s="2396"/>
      <c r="AJ17" s="2396"/>
      <c r="AK17" s="2396"/>
      <c r="AL17" s="2396"/>
      <c r="AM17" s="2396"/>
      <c r="AN17" s="2396"/>
      <c r="AO17" s="2396"/>
      <c r="AP17" s="2396"/>
      <c r="AQ17" s="2396"/>
      <c r="AR17" s="2396"/>
      <c r="AS17" s="2396"/>
      <c r="AT17" s="2396"/>
      <c r="AU17" s="2396"/>
      <c r="AV17" s="2396"/>
      <c r="AW17" s="2396"/>
      <c r="AX17" s="2396"/>
      <c r="AY17" s="2396"/>
      <c r="AZ17" s="2396"/>
      <c r="BA17" s="2396"/>
      <c r="BB17" s="2396"/>
      <c r="BC17" s="2396"/>
      <c r="BD17" s="2396"/>
      <c r="BE17" s="2396"/>
      <c r="BF17" s="2396"/>
      <c r="BG17" s="2396"/>
      <c r="BH17" s="2396"/>
      <c r="BI17" s="2396"/>
      <c r="BJ17" s="2396"/>
      <c r="BK17" s="2396"/>
      <c r="BL17" s="2396"/>
      <c r="BM17" s="2396"/>
      <c r="BN17" s="2396"/>
      <c r="BO17" s="2396"/>
      <c r="BP17" s="2396"/>
      <c r="BQ17" s="2396"/>
      <c r="BR17" s="2396"/>
      <c r="BS17" s="2397"/>
      <c r="BT17" s="1118" t="s">
        <v>1125</v>
      </c>
      <c r="BU17" s="1118" t="s">
        <v>1126</v>
      </c>
      <c r="BV17" s="1118" t="s">
        <v>1125</v>
      </c>
      <c r="BW17" s="1118" t="s">
        <v>1126</v>
      </c>
      <c r="BX17" s="1118" t="s">
        <v>1125</v>
      </c>
      <c r="BY17" s="1118" t="s">
        <v>1126</v>
      </c>
      <c r="BZ17" s="1118" t="s">
        <v>1125</v>
      </c>
      <c r="CA17" s="1118" t="s">
        <v>1126</v>
      </c>
      <c r="CB17" s="1118" t="s">
        <v>1125</v>
      </c>
      <c r="CC17" s="1118" t="s">
        <v>1126</v>
      </c>
      <c r="CD17" s="1118" t="s">
        <v>1125</v>
      </c>
      <c r="CE17" s="1118" t="s">
        <v>1126</v>
      </c>
      <c r="CF17" s="1118" t="s">
        <v>1125</v>
      </c>
      <c r="CG17" s="1118" t="s">
        <v>1126</v>
      </c>
      <c r="CH17" s="1118" t="s">
        <v>1125</v>
      </c>
      <c r="CI17" s="1118" t="s">
        <v>1126</v>
      </c>
      <c r="CJ17" s="1118" t="s">
        <v>1125</v>
      </c>
      <c r="CK17" s="1118" t="s">
        <v>1126</v>
      </c>
      <c r="CL17" s="2403"/>
      <c r="CM17" s="2396"/>
      <c r="CN17" s="2396"/>
      <c r="CO17" s="2396"/>
      <c r="CP17" s="2396"/>
      <c r="CQ17" s="2396"/>
      <c r="CR17" s="2396"/>
      <c r="CS17" s="2396"/>
      <c r="CT17" s="2396"/>
      <c r="CU17" s="2396"/>
      <c r="CV17" s="2396"/>
      <c r="CW17" s="2396"/>
      <c r="CX17" s="2397"/>
      <c r="CY17" s="1118" t="s">
        <v>1125</v>
      </c>
      <c r="CZ17" s="1118" t="s">
        <v>1126</v>
      </c>
      <c r="DA17" s="1118" t="s">
        <v>1125</v>
      </c>
      <c r="DB17" s="1118" t="s">
        <v>1126</v>
      </c>
      <c r="DC17" s="1118" t="s">
        <v>1125</v>
      </c>
      <c r="DD17" s="1118" t="s">
        <v>1126</v>
      </c>
      <c r="DE17" s="1118" t="s">
        <v>1125</v>
      </c>
      <c r="DF17" s="1118" t="s">
        <v>1126</v>
      </c>
      <c r="DG17" s="1118" t="s">
        <v>1125</v>
      </c>
      <c r="DH17" s="1118" t="s">
        <v>1126</v>
      </c>
      <c r="DI17" s="1118" t="s">
        <v>1125</v>
      </c>
      <c r="DJ17" s="1118" t="s">
        <v>1126</v>
      </c>
      <c r="DK17" s="2403"/>
      <c r="DL17" s="2396"/>
      <c r="DM17" s="2396"/>
      <c r="DN17" s="2396"/>
      <c r="DO17" s="2396"/>
      <c r="DP17" s="2396"/>
      <c r="DQ17" s="2396"/>
      <c r="DR17" s="2396"/>
      <c r="DS17" s="2396"/>
      <c r="DT17" s="2396"/>
      <c r="DU17" s="2396"/>
      <c r="DV17" s="2396"/>
      <c r="DW17" s="2396"/>
      <c r="DX17" s="2396"/>
      <c r="DY17" s="2396"/>
      <c r="DZ17" s="2396"/>
      <c r="EA17" s="2396"/>
      <c r="EB17" s="2396"/>
      <c r="EC17" s="2396"/>
      <c r="ED17" s="2396"/>
      <c r="EE17" s="2396"/>
      <c r="EF17" s="2396"/>
      <c r="EG17" s="2396"/>
      <c r="EH17" s="2396"/>
      <c r="EI17" s="2396"/>
      <c r="EJ17" s="2396"/>
      <c r="EK17" s="2396"/>
      <c r="EL17" s="2396"/>
      <c r="EM17" s="2396"/>
      <c r="EN17" s="2396"/>
      <c r="EO17" s="2396"/>
      <c r="EP17" s="2396"/>
      <c r="EQ17" s="2396"/>
      <c r="ER17" s="2396"/>
      <c r="ES17" s="2396"/>
      <c r="ET17" s="2396"/>
      <c r="EU17" s="2396"/>
      <c r="EV17" s="2396"/>
      <c r="EW17" s="2396"/>
      <c r="EX17" s="2396"/>
      <c r="EY17" s="2396"/>
      <c r="EZ17" s="2396"/>
      <c r="FA17" s="2396"/>
      <c r="FB17" s="2396"/>
      <c r="FC17" s="2396"/>
      <c r="FD17" s="2396"/>
      <c r="FE17" s="2396"/>
      <c r="FF17" s="2396"/>
      <c r="FG17" s="2396"/>
      <c r="FH17" s="2396"/>
      <c r="FI17" s="2396"/>
      <c r="FJ17" s="2396"/>
      <c r="FK17" s="2396"/>
      <c r="FL17" s="2396"/>
      <c r="FM17" s="2396"/>
      <c r="FN17" s="2396"/>
      <c r="FO17" s="2396"/>
      <c r="FP17" s="2396"/>
      <c r="FQ17" s="2396"/>
      <c r="FR17" s="2396"/>
      <c r="FS17" s="2396"/>
      <c r="FT17" s="2396"/>
      <c r="FU17" s="2396"/>
      <c r="FV17" s="2396"/>
      <c r="FW17" s="240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451</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3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2"/>
      <c r="F5" s="2232"/>
      <c r="G5" s="2232"/>
      <c r="H5" s="2232"/>
      <c r="I5" s="474"/>
      <c r="S5" s="442">
        <v>38</v>
      </c>
    </row>
    <row r="6" spans="1:19" ht="15.75" customHeight="1">
      <c r="C6" s="114"/>
      <c r="D6" s="2204" t="str">
        <f>IF(org=0,"Не определено",org)</f>
        <v>ООО ПКФ "Энергетик-2001"</v>
      </c>
      <c r="E6" s="2204"/>
      <c r="F6" s="2204"/>
      <c r="G6" s="2204"/>
      <c r="H6" s="2204"/>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49" t="s">
        <v>106</v>
      </c>
      <c r="F9" s="2350"/>
      <c r="G9" s="747" t="str">
        <f>IF(G8="","",INDEX(DIFFERENTIATION_UNMERGE_VD,MATCH(G8,DIFFERENTIATION_ID_DIFF,0)))</f>
        <v/>
      </c>
      <c r="H9" s="747">
        <f>IF(H8="","",INDEX(DIFFERENTIATION_UNMERGE_VD,MATCH(H8,DIFFERENTIATION_ID_DIFF,0)))</f>
        <v>0</v>
      </c>
      <c r="I9" s="2116" t="s">
        <v>307</v>
      </c>
      <c r="S9" s="442">
        <v>15</v>
      </c>
    </row>
    <row r="10" spans="1:19" s="1562" customFormat="1" ht="15.75" customHeight="1">
      <c r="A10" s="694"/>
      <c r="C10" s="114"/>
      <c r="D10" s="648"/>
      <c r="E10" s="2349" t="s">
        <v>577</v>
      </c>
      <c r="F10" s="2350"/>
      <c r="G10" s="747" t="str">
        <f>IF(G8="","",INDEX(DIFFERENTIATION_UNMERGE_AREA,MATCH(G8,DIFFERENTIATION_ID_DIFF,0)))</f>
        <v/>
      </c>
      <c r="H10" s="747" t="str">
        <f>IF(H8="","",INDEX(DIFFERENTIATION_UNMERGE_AREA,MATCH(H8,DIFFERENTIATION_ID_DIFF,0)))</f>
        <v/>
      </c>
      <c r="I10" s="2116"/>
      <c r="R10" s="612"/>
      <c r="S10" s="693">
        <v>15</v>
      </c>
    </row>
    <row r="11" spans="1:19" s="1562" customFormat="1" ht="15.75" customHeight="1">
      <c r="A11" s="694"/>
      <c r="C11" s="114"/>
      <c r="D11" s="648"/>
      <c r="E11" s="2349" t="s">
        <v>578</v>
      </c>
      <c r="F11" s="2350"/>
      <c r="G11" s="747" t="str">
        <f>IF(G8="","",INDEX(DIFFERENTIATION_UNMERGE_SYSTEM,MATCH(G8,DIFFERENTIATION_ID_DIFF,0)))</f>
        <v/>
      </c>
      <c r="H11" s="747" t="str">
        <f>IF(H8="","",INDEX(DIFFERENTIATION_UNMERGE_SYSTEM,MATCH(H8,DIFFERENTIATION_ID_DIFF,0)))</f>
        <v>без дифференциации</v>
      </c>
      <c r="I11" s="2116"/>
      <c r="R11" s="612"/>
      <c r="S11" s="693">
        <v>15</v>
      </c>
    </row>
    <row r="12" spans="1:19" s="1562" customFormat="1" ht="15.75" customHeight="1">
      <c r="A12" s="694"/>
      <c r="C12" s="114"/>
      <c r="D12" s="2351" t="s">
        <v>306</v>
      </c>
      <c r="E12" s="2352"/>
      <c r="F12" s="2352"/>
      <c r="G12" s="817"/>
      <c r="H12" s="817"/>
      <c r="I12" s="2116"/>
      <c r="R12" s="612"/>
      <c r="S12" s="693">
        <v>15</v>
      </c>
    </row>
    <row r="13" spans="1:19" ht="35.65" customHeight="1">
      <c r="C13" s="114"/>
      <c r="D13" s="696" t="s">
        <v>88</v>
      </c>
      <c r="E13" s="695" t="s">
        <v>308</v>
      </c>
      <c r="F13" s="695" t="s">
        <v>579</v>
      </c>
      <c r="G13" s="739" t="s">
        <v>309</v>
      </c>
      <c r="H13" s="691" t="s">
        <v>309</v>
      </c>
      <c r="I13" s="2116"/>
      <c r="S13" s="442">
        <v>34</v>
      </c>
    </row>
    <row r="14" spans="1:19" ht="15" hidden="1" customHeight="1">
      <c r="C14" s="114"/>
      <c r="D14" s="530" t="s">
        <v>110</v>
      </c>
      <c r="E14" s="530" t="s">
        <v>111</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1127</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1127</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1127</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1128</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6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1129</v>
      </c>
      <c r="F22" s="509"/>
      <c r="G22" s="509"/>
      <c r="H22" s="509"/>
      <c r="I22" s="2162"/>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9"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6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9"/>
      <c r="F5" s="2169"/>
      <c r="G5" s="2170"/>
      <c r="Q5" s="23">
        <v>28</v>
      </c>
    </row>
    <row r="6" spans="1:17" s="1562" customFormat="1" ht="18.75" customHeight="1">
      <c r="A6" s="812"/>
      <c r="B6" s="354"/>
      <c r="C6" s="313"/>
      <c r="D6" s="2226" t="str">
        <f>IF(org=0,"Не определено",org)</f>
        <v>ООО ПКФ "Энергетик-2001"</v>
      </c>
      <c r="E6" s="2227"/>
      <c r="F6" s="2227"/>
      <c r="G6" s="2228"/>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12" t="s">
        <v>306</v>
      </c>
      <c r="E9" s="2212"/>
      <c r="F9" s="2212"/>
      <c r="G9" s="2366" t="s">
        <v>307</v>
      </c>
      <c r="Q9" s="23">
        <v>14</v>
      </c>
    </row>
    <row r="10" spans="1:17" ht="24" customHeight="1">
      <c r="C10" s="36"/>
      <c r="D10" s="45" t="s">
        <v>88</v>
      </c>
      <c r="E10" s="48" t="s">
        <v>308</v>
      </c>
      <c r="F10" s="48" t="s">
        <v>396</v>
      </c>
      <c r="G10" s="236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1034</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1070</v>
      </c>
      <c r="E14" s="133"/>
      <c r="F14" s="151"/>
      <c r="G14" s="21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1130</v>
      </c>
      <c r="F15" s="139"/>
      <c r="G15" s="2162"/>
      <c r="Q15" s="23">
        <v>15</v>
      </c>
    </row>
    <row r="16" spans="1:17" ht="14.65" customHeight="1">
      <c r="A16" s="130"/>
      <c r="C16" s="36"/>
      <c r="D16" s="85" t="s">
        <v>1036</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1078</v>
      </c>
      <c r="E17" s="133"/>
      <c r="F17" s="322"/>
      <c r="G17" s="21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1131</v>
      </c>
      <c r="F18" s="276"/>
      <c r="G18" s="2162"/>
      <c r="I18" s="287"/>
      <c r="J18" s="287"/>
      <c r="Q18" s="280">
        <v>21</v>
      </c>
    </row>
    <row r="19" spans="1:17" s="1562" customFormat="1" ht="256.5" hidden="1" customHeight="1">
      <c r="A19" s="281"/>
      <c r="B19" s="354"/>
      <c r="C19" s="313"/>
      <c r="D19" s="814" t="s">
        <v>1038</v>
      </c>
      <c r="E19" s="813" t="s">
        <v>1132</v>
      </c>
      <c r="F19" s="322"/>
      <c r="G19" s="275" t="s">
        <v>1133</v>
      </c>
      <c r="I19" s="437"/>
      <c r="J19" s="437"/>
      <c r="Q19" s="693">
        <v>0</v>
      </c>
    </row>
    <row r="20" spans="1:17" s="1562" customFormat="1" ht="14.65" customHeight="1">
      <c r="A20" s="281"/>
      <c r="B20" s="84"/>
      <c r="C20" s="245"/>
      <c r="D20" s="815">
        <v>2</v>
      </c>
      <c r="E20" s="268" t="s">
        <v>1134</v>
      </c>
      <c r="F20" s="136" t="s">
        <v>312</v>
      </c>
      <c r="G20" s="275"/>
      <c r="I20" s="287"/>
      <c r="J20" s="287"/>
      <c r="Q20" s="280">
        <v>14</v>
      </c>
    </row>
    <row r="21" spans="1:17" s="1562" customFormat="1" ht="18.75" hidden="1" customHeight="1">
      <c r="A21" s="281"/>
      <c r="B21" s="84"/>
      <c r="C21" s="245"/>
      <c r="D21" s="271" t="s">
        <v>649</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111</v>
      </c>
      <c r="E23" s="135" t="s">
        <v>1135</v>
      </c>
      <c r="F23" s="1597" t="s">
        <v>312</v>
      </c>
      <c r="G23" s="283"/>
      <c r="I23" s="1551"/>
      <c r="J23" s="1551"/>
      <c r="Q23" s="1558">
        <v>0</v>
      </c>
    </row>
    <row r="24" spans="1:17" s="1562" customFormat="1" ht="14.25" hidden="1" customHeight="1">
      <c r="A24" s="281"/>
      <c r="B24" s="1087"/>
      <c r="C24" s="313"/>
      <c r="D24" s="1600" t="s">
        <v>721</v>
      </c>
      <c r="E24" s="1599" t="s">
        <v>1136</v>
      </c>
      <c r="F24" s="1597" t="s">
        <v>312</v>
      </c>
      <c r="G24" s="275"/>
      <c r="I24" s="1551"/>
      <c r="J24" s="1551"/>
      <c r="Q24" s="1558">
        <v>0</v>
      </c>
    </row>
    <row r="25" spans="1:17" s="1562" customFormat="1" ht="14.25" hidden="1" customHeight="1">
      <c r="A25" s="281"/>
      <c r="B25" s="1087"/>
      <c r="C25" s="313"/>
      <c r="D25" s="1600" t="s">
        <v>724</v>
      </c>
      <c r="E25" s="133"/>
      <c r="F25" s="322"/>
      <c r="G25" s="2160" t="s">
        <v>1137</v>
      </c>
      <c r="I25" s="1551"/>
      <c r="J25" s="1551"/>
      <c r="Q25" s="1558">
        <v>0</v>
      </c>
    </row>
    <row r="26" spans="1:17" s="1562" customFormat="1" ht="22.5" hidden="1" customHeight="1">
      <c r="A26" s="281"/>
      <c r="B26" s="1087"/>
      <c r="C26" s="313"/>
      <c r="D26" s="285"/>
      <c r="E26" s="286" t="s">
        <v>1138</v>
      </c>
      <c r="F26" s="276"/>
      <c r="G26" s="216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451</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451</v>
      </c>
      <c r="D4" s="1600"/>
      <c r="E4" s="143" t="s">
        <v>1139</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451</v>
      </c>
      <c r="D6" s="1600"/>
      <c r="E6" s="144" t="s">
        <v>1140</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451</v>
      </c>
      <c r="D8" s="1600"/>
      <c r="E8" s="144" t="s">
        <v>1141</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451</v>
      </c>
      <c r="D10" s="1600"/>
      <c r="E10" s="144" t="s">
        <v>1142</v>
      </c>
      <c r="F10" s="1597"/>
      <c r="G10" s="1601"/>
      <c r="H10" s="1597" t="s">
        <v>312</v>
      </c>
      <c r="K10" s="1551"/>
      <c r="L10" s="1551" t="s">
        <v>1143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6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9"/>
      <c r="F14" s="2169"/>
      <c r="G14" s="2169"/>
      <c r="H14" s="2170"/>
      <c r="J14" s="1558"/>
      <c r="M14" s="23">
        <v>28</v>
      </c>
    </row>
    <row r="15" spans="1:13" s="1562" customFormat="1" ht="14.65" customHeight="1">
      <c r="A15" s="1289"/>
      <c r="B15" s="1087"/>
      <c r="C15" s="313"/>
      <c r="D15" s="2226" t="str">
        <f>IF(org=0,"Не определено",org)</f>
        <v>ООО ПКФ "Энергетик-2001"</v>
      </c>
      <c r="E15" s="2227"/>
      <c r="F15" s="2227"/>
      <c r="G15" s="2227"/>
      <c r="H15" s="2228"/>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12" t="s">
        <v>306</v>
      </c>
      <c r="E18" s="2212"/>
      <c r="F18" s="2212"/>
      <c r="G18" s="2212"/>
      <c r="H18" s="2212"/>
      <c r="I18" s="2366" t="s">
        <v>307</v>
      </c>
      <c r="M18" s="23">
        <v>21</v>
      </c>
    </row>
    <row r="19" spans="1:13" ht="21.95" customHeight="1">
      <c r="C19" s="36"/>
      <c r="D19" s="45" t="s">
        <v>88</v>
      </c>
      <c r="E19" s="48" t="s">
        <v>308</v>
      </c>
      <c r="F19" s="48"/>
      <c r="G19" s="48" t="s">
        <v>309</v>
      </c>
      <c r="H19" s="48" t="s">
        <v>396</v>
      </c>
      <c r="I19" s="2366"/>
      <c r="M19" s="23">
        <v>21</v>
      </c>
    </row>
    <row r="20" spans="1:13" ht="12" hidden="1" customHeight="1">
      <c r="C20" s="36"/>
      <c r="D20" s="27"/>
      <c r="E20" s="27"/>
      <c r="F20" s="27"/>
      <c r="G20" s="27"/>
      <c r="H20" s="27"/>
      <c r="I20" s="27"/>
      <c r="M20" s="23">
        <v>0</v>
      </c>
    </row>
    <row r="21" spans="1:13" ht="14.65" customHeight="1">
      <c r="A21" s="1610"/>
      <c r="C21" s="36"/>
      <c r="D21" s="85">
        <v>1</v>
      </c>
      <c r="E21" s="2417" t="s">
        <v>1144</v>
      </c>
      <c r="F21" s="2417"/>
      <c r="G21" s="2417"/>
      <c r="H21" s="2417"/>
      <c r="I21" s="146"/>
      <c r="M21" s="23">
        <v>14</v>
      </c>
    </row>
    <row r="22" spans="1:13" ht="21" customHeight="1">
      <c r="A22" s="1610"/>
      <c r="C22" s="36"/>
      <c r="D22" s="85" t="s">
        <v>1034</v>
      </c>
      <c r="E22" s="132" t="s">
        <v>1145</v>
      </c>
      <c r="F22" s="136"/>
      <c r="G22" s="1663"/>
      <c r="H22" s="136" t="s">
        <v>312</v>
      </c>
      <c r="I22" s="89" t="s">
        <v>1146</v>
      </c>
      <c r="M22" s="23">
        <v>20</v>
      </c>
    </row>
    <row r="23" spans="1:13" ht="60" customHeight="1">
      <c r="A23" s="1610"/>
      <c r="C23" s="36"/>
      <c r="D23" s="85" t="s">
        <v>1036</v>
      </c>
      <c r="E23" s="132" t="s">
        <v>1147</v>
      </c>
      <c r="F23" s="136"/>
      <c r="G23" s="195"/>
      <c r="H23" s="151"/>
      <c r="I23" s="196" t="s">
        <v>1148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c r="I24" s="197" t="s">
        <v>644</v>
      </c>
      <c r="M24" s="23">
        <v>14</v>
      </c>
    </row>
    <row r="25" spans="1:13" ht="48.2" customHeight="1">
      <c r="A25" s="1610"/>
      <c r="C25" s="36"/>
      <c r="D25" s="85">
        <v>3</v>
      </c>
      <c r="E25" s="241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7"/>
      <c r="G25" s="2417"/>
      <c r="H25" s="2417"/>
      <c r="I25" s="194"/>
      <c r="M25" s="23">
        <v>46</v>
      </c>
    </row>
    <row r="26" spans="1:13" ht="14.65" customHeight="1">
      <c r="A26" s="1610"/>
      <c r="C26" s="36"/>
      <c r="D26" s="85" t="s">
        <v>330</v>
      </c>
      <c r="E26" s="137"/>
      <c r="F26" s="136"/>
      <c r="G26" s="136" t="s">
        <v>312</v>
      </c>
      <c r="H26" s="151"/>
      <c r="I26" s="2160" t="s">
        <v>1149</v>
      </c>
      <c r="M26" s="23">
        <v>14</v>
      </c>
    </row>
    <row r="27" spans="1:13" ht="15.75" customHeight="1">
      <c r="A27" s="1610" t="s">
        <v>110</v>
      </c>
      <c r="C27" s="36"/>
      <c r="D27" s="49"/>
      <c r="E27" s="141" t="s">
        <v>328</v>
      </c>
      <c r="F27" s="142"/>
      <c r="G27" s="142"/>
      <c r="H27" s="139"/>
      <c r="I27" s="2162"/>
      <c r="M27" s="23">
        <v>15</v>
      </c>
    </row>
    <row r="28" spans="1:13" ht="39.75" customHeight="1">
      <c r="A28" s="1610"/>
      <c r="B28" s="84">
        <v>3</v>
      </c>
      <c r="C28" s="36"/>
      <c r="D28" s="85">
        <v>4</v>
      </c>
      <c r="E28" s="241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7"/>
      <c r="G28" s="2417"/>
      <c r="H28" s="2417"/>
      <c r="I28" s="194"/>
      <c r="M28" s="23">
        <v>38</v>
      </c>
    </row>
    <row r="29" spans="1:13" ht="21" customHeight="1">
      <c r="A29" s="1610"/>
      <c r="C29" s="36"/>
      <c r="D29" s="85" t="s">
        <v>766</v>
      </c>
      <c r="E29" s="143" t="s">
        <v>1139</v>
      </c>
      <c r="F29" s="136"/>
      <c r="G29" s="195"/>
      <c r="H29" s="136" t="s">
        <v>312</v>
      </c>
      <c r="I29" s="2160" t="s">
        <v>1150</v>
      </c>
      <c r="M29" s="23">
        <v>20</v>
      </c>
    </row>
    <row r="30" spans="1:13" ht="15.75" customHeight="1">
      <c r="A30" s="1610" t="s">
        <v>111</v>
      </c>
      <c r="C30" s="36"/>
      <c r="D30" s="49"/>
      <c r="E30" s="141" t="s">
        <v>328</v>
      </c>
      <c r="F30" s="142"/>
      <c r="G30" s="142"/>
      <c r="H30" s="139"/>
      <c r="I30" s="2162"/>
      <c r="M30" s="23">
        <v>15</v>
      </c>
    </row>
    <row r="31" spans="1:13" ht="31.5" customHeight="1">
      <c r="A31" s="1610"/>
      <c r="B31" s="84">
        <v>3</v>
      </c>
      <c r="C31" s="36"/>
      <c r="D31" s="85">
        <v>5</v>
      </c>
      <c r="E31" s="241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7"/>
      <c r="G31" s="2417"/>
      <c r="H31" s="2417"/>
      <c r="I31" s="194"/>
      <c r="M31" s="23">
        <v>30</v>
      </c>
    </row>
    <row r="32" spans="1:13" ht="27.4" customHeight="1">
      <c r="A32" s="1610"/>
      <c r="C32" s="36"/>
      <c r="D32" s="85" t="s">
        <v>319</v>
      </c>
      <c r="E32" s="238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0"/>
      <c r="G32" s="2380"/>
      <c r="H32" s="2380"/>
      <c r="I32" s="194"/>
      <c r="M32" s="23">
        <v>26</v>
      </c>
    </row>
    <row r="33" spans="1:13" ht="14.65" customHeight="1">
      <c r="A33" s="1610"/>
      <c r="C33" s="36"/>
      <c r="D33" s="85" t="s">
        <v>1151</v>
      </c>
      <c r="E33" s="144" t="s">
        <v>1140</v>
      </c>
      <c r="F33" s="136"/>
      <c r="G33" s="195"/>
      <c r="H33" s="136" t="s">
        <v>312</v>
      </c>
      <c r="I33" s="2160" t="s">
        <v>1152</v>
      </c>
      <c r="M33" s="23">
        <v>14</v>
      </c>
    </row>
    <row r="34" spans="1:13" ht="15.75" customHeight="1">
      <c r="A34" s="1610" t="s">
        <v>90</v>
      </c>
      <c r="C34" s="36"/>
      <c r="D34" s="49"/>
      <c r="E34" s="142" t="s">
        <v>328</v>
      </c>
      <c r="F34" s="138"/>
      <c r="G34" s="138"/>
      <c r="H34" s="139"/>
      <c r="I34" s="2162"/>
      <c r="M34" s="23">
        <v>15</v>
      </c>
    </row>
    <row r="35" spans="1:13" ht="25.15" customHeight="1">
      <c r="A35" s="1610"/>
      <c r="C35" s="36"/>
      <c r="D35" s="85" t="s">
        <v>894</v>
      </c>
      <c r="E35" s="238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0"/>
      <c r="G35" s="2380"/>
      <c r="H35" s="2380"/>
      <c r="I35" s="194"/>
      <c r="M35" s="23">
        <v>24</v>
      </c>
    </row>
    <row r="36" spans="1:13" ht="14.65" customHeight="1">
      <c r="A36" s="1610"/>
      <c r="C36" s="36"/>
      <c r="D36" s="85" t="s">
        <v>1153</v>
      </c>
      <c r="E36" s="144" t="s">
        <v>1141</v>
      </c>
      <c r="F36" s="136"/>
      <c r="G36" s="195"/>
      <c r="H36" s="136" t="s">
        <v>312</v>
      </c>
      <c r="I36" s="2138" t="s">
        <v>1154</v>
      </c>
      <c r="M36" s="23">
        <v>14</v>
      </c>
    </row>
    <row r="37" spans="1:13" ht="15.75" customHeight="1">
      <c r="A37" s="1610" t="s">
        <v>91</v>
      </c>
      <c r="C37" s="36"/>
      <c r="D37" s="49"/>
      <c r="E37" s="142" t="s">
        <v>328</v>
      </c>
      <c r="F37" s="138"/>
      <c r="G37" s="138"/>
      <c r="H37" s="139"/>
      <c r="I37" s="2138"/>
      <c r="M37" s="23">
        <v>15</v>
      </c>
    </row>
    <row r="38" spans="1:13" ht="27.4" customHeight="1">
      <c r="A38" s="1610"/>
      <c r="C38" s="36"/>
      <c r="D38" s="85" t="s">
        <v>895</v>
      </c>
      <c r="E38" s="238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0"/>
      <c r="G38" s="2380"/>
      <c r="H38" s="2380"/>
      <c r="I38" s="194"/>
      <c r="M38" s="23">
        <v>26</v>
      </c>
    </row>
    <row r="39" spans="1:13" ht="14.65" customHeight="1">
      <c r="A39" s="1610"/>
      <c r="C39" s="36"/>
      <c r="D39" s="85" t="s">
        <v>896</v>
      </c>
      <c r="E39" s="144" t="s">
        <v>1142</v>
      </c>
      <c r="F39" s="136"/>
      <c r="G39" s="145"/>
      <c r="H39" s="136" t="s">
        <v>312</v>
      </c>
      <c r="I39" s="2160" t="s">
        <v>1155</v>
      </c>
      <c r="L39" s="93" t="s">
        <v>1143</v>
      </c>
      <c r="M39" s="23">
        <v>14</v>
      </c>
    </row>
    <row r="40" spans="1:13" ht="15.75" customHeight="1">
      <c r="A40" s="1610" t="s">
        <v>112</v>
      </c>
      <c r="C40" s="36"/>
      <c r="D40" s="49"/>
      <c r="E40" s="142" t="s">
        <v>328</v>
      </c>
      <c r="F40" s="138"/>
      <c r="G40" s="138"/>
      <c r="H40" s="139"/>
      <c r="I40" s="2162"/>
      <c r="M40" s="23">
        <v>15</v>
      </c>
    </row>
    <row r="41" spans="1:13" s="1748" customFormat="1" ht="3" customHeight="1">
      <c r="A41" s="1610"/>
      <c r="K41" s="134"/>
      <c r="L41" s="134"/>
      <c r="M41" s="79">
        <v>3</v>
      </c>
    </row>
    <row r="42" spans="1:13" ht="26.25" customHeight="1">
      <c r="D42" s="1608" t="s">
        <v>816</v>
      </c>
      <c r="E42" s="22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0"/>
      <c r="G42" s="2250"/>
      <c r="H42" s="2250"/>
      <c r="I42" s="2250"/>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5"/>
  <sheetViews>
    <sheetView showGridLines="0" topLeftCell="D13" zoomScale="90" workbookViewId="0">
      <selection activeCell="L295" sqref="L295"/>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23</v>
      </c>
      <c r="O1" s="1551"/>
      <c r="P1" s="1551"/>
      <c r="T1" s="762"/>
      <c r="AG1" s="193"/>
      <c r="AH1" s="1558" t="s">
        <v>14</v>
      </c>
    </row>
    <row r="2" spans="1:34" s="1562" customFormat="1" ht="18.75" hidden="1" customHeight="1">
      <c r="A2" s="1706" t="s">
        <v>156</v>
      </c>
      <c r="B2" s="1706" t="s">
        <v>157</v>
      </c>
      <c r="C2" s="306"/>
      <c r="D2" s="282"/>
      <c r="E2" s="961"/>
      <c r="F2" s="961"/>
      <c r="G2" s="2393"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1156</v>
      </c>
      <c r="D3" s="282"/>
      <c r="E3" s="961"/>
      <c r="F3" s="961"/>
      <c r="G3" s="2393"/>
      <c r="H3" s="1427"/>
      <c r="I3" s="588" t="s">
        <v>1157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23</v>
      </c>
      <c r="O4" s="1551"/>
      <c r="P4" s="1551"/>
      <c r="T4" s="762"/>
      <c r="AG4" s="193"/>
      <c r="AH4" s="1558">
        <v>0</v>
      </c>
    </row>
    <row r="5" spans="1:34" s="1562" customFormat="1" ht="18.75" hidden="1" customHeight="1">
      <c r="A5" s="1706" t="s">
        <v>156</v>
      </c>
      <c r="B5" s="1706" t="s">
        <v>157</v>
      </c>
      <c r="C5" s="306"/>
      <c r="D5" s="282"/>
      <c r="E5" s="961"/>
      <c r="F5" s="961"/>
      <c r="G5" s="2393"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1158</v>
      </c>
      <c r="D6" s="282"/>
      <c r="E6" s="961"/>
      <c r="F6" s="961"/>
      <c r="G6" s="2393"/>
      <c r="H6" s="1427"/>
      <c r="I6" s="588" t="s">
        <v>1157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23</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1"/>
      <c r="G14" s="2421"/>
      <c r="H14" s="2421"/>
      <c r="I14" s="2421"/>
      <c r="J14" s="2421"/>
      <c r="K14" s="2421"/>
      <c r="L14" s="2421"/>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43">
        <f>IF(TITLE_DATE_PR_CHANGE="",IF(TITLE_DATE_PR="","",TITLE_DATE_PR),TITLE_DATE_PR_CHANGE)</f>
        <v>45777</v>
      </c>
      <c r="H16" s="2243"/>
      <c r="I16" s="2243"/>
      <c r="J16" s="2243"/>
      <c r="K16" s="2243"/>
      <c r="L16" s="2243"/>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44" t="str">
        <f>IF(TITLE_NUMBER_PR_CHANGE="",IF(TITLE_NUMBER_PR="","",TITLE_NUMBER_PR),TITLE_NUMBER_PR_CHANGE)</f>
        <v>466</v>
      </c>
      <c r="H17" s="2244"/>
      <c r="I17" s="2244"/>
      <c r="J17" s="2244"/>
      <c r="K17" s="2244"/>
      <c r="L17" s="2244"/>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12" t="s">
        <v>306</v>
      </c>
      <c r="F19" s="2212"/>
      <c r="G19" s="2212"/>
      <c r="H19" s="2212"/>
      <c r="I19" s="2212"/>
      <c r="J19" s="2212"/>
      <c r="K19" s="2212"/>
      <c r="L19" s="2212"/>
      <c r="M19" s="2366" t="s">
        <v>307</v>
      </c>
      <c r="AH19" s="311">
        <v>21</v>
      </c>
    </row>
    <row r="20" spans="1:34" ht="21.95" customHeight="1">
      <c r="D20" s="313"/>
      <c r="E20" s="2268" t="s">
        <v>88</v>
      </c>
      <c r="F20" s="2218" t="s">
        <v>123</v>
      </c>
      <c r="G20" s="2218" t="s">
        <v>124</v>
      </c>
      <c r="H20" s="2363" t="s">
        <v>1159</v>
      </c>
      <c r="I20" s="2364"/>
      <c r="J20" s="2395"/>
      <c r="K20" s="2218" t="s">
        <v>309</v>
      </c>
      <c r="L20" s="2218" t="s">
        <v>396</v>
      </c>
      <c r="M20" s="2366"/>
      <c r="AH20" s="311">
        <v>21</v>
      </c>
    </row>
    <row r="21" spans="1:34" ht="21.95" customHeight="1">
      <c r="D21" s="313"/>
      <c r="E21" s="2270"/>
      <c r="F21" s="2219"/>
      <c r="G21" s="2219"/>
      <c r="H21" s="2217" t="s">
        <v>1160</v>
      </c>
      <c r="I21" s="2231"/>
      <c r="J21" s="48" t="s">
        <v>1161</v>
      </c>
      <c r="K21" s="2219"/>
      <c r="L21" s="2219"/>
      <c r="M21" s="2366"/>
      <c r="AH21" s="311">
        <v>21</v>
      </c>
    </row>
    <row r="22" spans="1:34" ht="12.75" customHeight="1">
      <c r="D22" s="313"/>
      <c r="E22" s="219"/>
      <c r="F22" s="219"/>
      <c r="G22" s="219"/>
      <c r="H22" s="2423"/>
      <c r="I22" s="2423"/>
      <c r="J22" s="219"/>
      <c r="K22" s="219"/>
      <c r="L22" s="219"/>
      <c r="M22" s="219"/>
      <c r="AH22" s="311">
        <v>12</v>
      </c>
    </row>
    <row r="23" spans="1:34" ht="19.899999999999999" customHeight="1">
      <c r="A23" s="1706"/>
      <c r="B23" s="1706"/>
      <c r="D23" s="313"/>
      <c r="E23" s="1791" t="s">
        <v>110</v>
      </c>
      <c r="F23" s="2424" t="str">
        <f>"Предлагаемый метод регулирования"&amp;IF(TEMPLATE_SPHERE="HEAT"," в сфере "&amp;TEMPLATE_SPHERE_RUS,"")</f>
        <v>Предлагаемый метод регулирования в сфере теплоснабжения</v>
      </c>
      <c r="G23" s="2424"/>
      <c r="H23" s="2417"/>
      <c r="I23" s="2417"/>
      <c r="J23" s="2417"/>
      <c r="K23" s="2424" t="s">
        <v>312</v>
      </c>
      <c r="L23" s="2417"/>
      <c r="M23" s="1695"/>
      <c r="N23" s="272"/>
      <c r="AH23" s="311">
        <v>19</v>
      </c>
    </row>
    <row r="24" spans="1:34" ht="60.75" hidden="1" customHeight="1">
      <c r="A24" s="1706" t="s">
        <v>156</v>
      </c>
      <c r="B24" s="1706" t="s">
        <v>157</v>
      </c>
      <c r="D24" s="2422"/>
      <c r="E24" s="2207"/>
      <c r="F24" s="24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3" t="str">
        <f>INDEX(PT_DIFFERENTIATION_NTAR,MATCH(B24,PT_DIFFERENTIATION_NTAR_ID,0))</f>
        <v/>
      </c>
      <c r="H24" s="1787"/>
      <c r="I24" s="1665"/>
      <c r="J24" s="1699"/>
      <c r="K24" s="1790"/>
      <c r="L24" s="1694" t="s">
        <v>312</v>
      </c>
      <c r="M24"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1156</v>
      </c>
      <c r="D25" s="2422"/>
      <c r="E25" s="2207"/>
      <c r="F25" s="2425"/>
      <c r="G25" s="2393"/>
      <c r="H25" s="1427"/>
      <c r="I25" s="588" t="s">
        <v>1157</v>
      </c>
      <c r="J25" s="508"/>
      <c r="K25" s="1427"/>
      <c r="L25" s="152"/>
      <c r="M25" s="2161"/>
      <c r="N25" s="272"/>
      <c r="O25" s="1551"/>
      <c r="P25" s="1551"/>
      <c r="AH25" s="1558">
        <v>0</v>
      </c>
    </row>
    <row r="26" spans="1:34" ht="0.75" hidden="1" customHeight="1">
      <c r="A26" s="1706"/>
      <c r="B26" s="1706"/>
      <c r="C26" s="306" t="s">
        <v>1162</v>
      </c>
      <c r="D26" s="2422"/>
      <c r="E26" s="2207"/>
      <c r="F26" s="2356"/>
      <c r="G26" s="337"/>
      <c r="H26" s="1427"/>
      <c r="I26" s="332"/>
      <c r="J26" s="286"/>
      <c r="K26" s="1427"/>
      <c r="L26" s="139"/>
      <c r="M26" s="2161"/>
      <c r="N26" s="272"/>
      <c r="AH26" s="311">
        <v>0</v>
      </c>
    </row>
    <row r="27" spans="1:34" s="1562" customFormat="1" ht="45" customHeight="1">
      <c r="A27" s="1706" t="s">
        <v>164</v>
      </c>
      <c r="B27" s="1706" t="s">
        <v>165</v>
      </c>
      <c r="C27" s="306"/>
      <c r="D27" s="2418"/>
      <c r="E27" s="2426"/>
      <c r="F27" s="2427"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93" t="str">
        <f>INDEX(PT_DIFFERENTIATION_NTAR,MATCH(B27,PT_DIFFERENTIATION_NTAR_ID,0))</f>
        <v>Тариф на тепловую энергию (мощность) для потребителей на территории Засечного сельсовета Пензенского района Пензенской области</v>
      </c>
      <c r="H27" s="1787"/>
      <c r="I27" s="1665">
        <v>46023</v>
      </c>
      <c r="J27" s="1699">
        <v>46203</v>
      </c>
      <c r="K27" s="1790" t="s">
        <v>1163</v>
      </c>
      <c r="L27" s="1787" t="s">
        <v>312</v>
      </c>
      <c r="M27" s="2161"/>
      <c r="N27" s="272"/>
      <c r="O27" s="1551"/>
      <c r="P27" s="1551"/>
      <c r="AH27" s="1558">
        <v>0</v>
      </c>
    </row>
    <row r="28" spans="1:34" s="1562" customFormat="1" ht="56.25" customHeight="1">
      <c r="A28" s="1748"/>
      <c r="B28" s="1748"/>
      <c r="C28" s="1614"/>
      <c r="D28" s="2419"/>
      <c r="E28" s="2420"/>
      <c r="F28" s="2420"/>
      <c r="G28" s="2420"/>
      <c r="H28" s="2005" t="s">
        <v>451</v>
      </c>
      <c r="I28" s="1665">
        <v>46204</v>
      </c>
      <c r="J28" s="1699">
        <v>46387</v>
      </c>
      <c r="K28" s="2007" t="s">
        <v>1163</v>
      </c>
      <c r="L28" s="2005" t="s">
        <v>312</v>
      </c>
      <c r="M28" s="2301"/>
      <c r="N28" s="555"/>
      <c r="O28" s="1551"/>
      <c r="P28" s="1551"/>
      <c r="AH28" s="1562">
        <v>0</v>
      </c>
    </row>
    <row r="29" spans="1:34" s="1562" customFormat="1" ht="18.75" customHeight="1">
      <c r="A29" s="1706"/>
      <c r="B29" s="1706"/>
      <c r="C29" s="306" t="s">
        <v>1156</v>
      </c>
      <c r="D29" s="2418"/>
      <c r="E29" s="2426"/>
      <c r="F29" s="2427"/>
      <c r="G29" s="2393"/>
      <c r="H29" s="1427"/>
      <c r="I29" s="588" t="s">
        <v>1157</v>
      </c>
      <c r="J29" s="508"/>
      <c r="K29" s="1427"/>
      <c r="L29" s="152"/>
      <c r="M29" s="2161"/>
      <c r="N29" s="272"/>
      <c r="O29" s="1551"/>
      <c r="P29" s="1551"/>
      <c r="AH29" s="1558">
        <v>0</v>
      </c>
    </row>
    <row r="30" spans="1:34" s="1562" customFormat="1" ht="0.75" customHeight="1">
      <c r="A30" s="1706"/>
      <c r="B30" s="1706"/>
      <c r="C30" s="306" t="s">
        <v>1162</v>
      </c>
      <c r="D30" s="2418"/>
      <c r="E30" s="2207"/>
      <c r="F30" s="2356"/>
      <c r="G30" s="337"/>
      <c r="H30" s="1427"/>
      <c r="I30" s="588"/>
      <c r="J30" s="508"/>
      <c r="K30" s="1427"/>
      <c r="L30" s="152"/>
      <c r="M30" s="2161"/>
      <c r="N30" s="272"/>
      <c r="O30" s="1551"/>
      <c r="P30" s="1551"/>
      <c r="AH30" s="1558">
        <v>0</v>
      </c>
    </row>
    <row r="31" spans="1:34" s="1562" customFormat="1" ht="45" hidden="1" customHeight="1">
      <c r="A31" s="1706" t="s">
        <v>174</v>
      </c>
      <c r="B31" s="1706" t="s">
        <v>175</v>
      </c>
      <c r="C31" s="306"/>
      <c r="D31" s="2418"/>
      <c r="E31" s="2207"/>
      <c r="F31" s="2356" t="str">
        <f>INDEX(PT_DIFFERENTIATION_VTAR,MATCH(A31,PT_DIFFERENTIATION_VTAR_ID,0))</f>
        <v>Тарифы на теплоноситель, поставляемый теплоснабжающими организациями потребителям, другим теплоснабжающим организациям</v>
      </c>
      <c r="G31" s="2393" t="str">
        <f>INDEX(PT_DIFFERENTIATION_NTAR,MATCH(B31,PT_DIFFERENTIATION_NTAR_ID,0))</f>
        <v/>
      </c>
      <c r="H31" s="1787"/>
      <c r="I31" s="1665"/>
      <c r="J31" s="1699"/>
      <c r="K31" s="1790"/>
      <c r="L31" s="1787" t="s">
        <v>312</v>
      </c>
      <c r="M31" s="2161"/>
      <c r="N31" s="272"/>
      <c r="O31" s="1551"/>
      <c r="P31" s="1551"/>
      <c r="AH31" s="1558">
        <v>0</v>
      </c>
    </row>
    <row r="32" spans="1:34" s="1562" customFormat="1" ht="18.75" hidden="1" customHeight="1">
      <c r="A32" s="1706"/>
      <c r="B32" s="1706"/>
      <c r="C32" s="306" t="s">
        <v>1156</v>
      </c>
      <c r="D32" s="2418"/>
      <c r="E32" s="2207"/>
      <c r="F32" s="2356"/>
      <c r="G32" s="2393"/>
      <c r="H32" s="1427"/>
      <c r="I32" s="588" t="s">
        <v>1157</v>
      </c>
      <c r="J32" s="508"/>
      <c r="K32" s="1427"/>
      <c r="L32" s="152"/>
      <c r="M32" s="2161"/>
      <c r="N32" s="272"/>
      <c r="O32" s="1551"/>
      <c r="P32" s="1551"/>
      <c r="AH32" s="1558">
        <v>0</v>
      </c>
    </row>
    <row r="33" spans="1:34" s="1562" customFormat="1" ht="0.75" hidden="1" customHeight="1">
      <c r="A33" s="1706"/>
      <c r="B33" s="1706"/>
      <c r="C33" s="306" t="s">
        <v>1162</v>
      </c>
      <c r="D33" s="2418"/>
      <c r="E33" s="2207"/>
      <c r="F33" s="2356"/>
      <c r="G33" s="337"/>
      <c r="H33" s="1427"/>
      <c r="I33" s="588"/>
      <c r="J33" s="508"/>
      <c r="K33" s="1427"/>
      <c r="L33" s="152"/>
      <c r="M33" s="2161"/>
      <c r="N33" s="272"/>
      <c r="O33" s="1551"/>
      <c r="P33" s="1551"/>
      <c r="AH33" s="1558">
        <v>0</v>
      </c>
    </row>
    <row r="34" spans="1:34" s="1562" customFormat="1" ht="45" hidden="1" customHeight="1">
      <c r="A34" s="1706" t="s">
        <v>180</v>
      </c>
      <c r="B34" s="1706" t="s">
        <v>181</v>
      </c>
      <c r="C34" s="306"/>
      <c r="D34" s="2418"/>
      <c r="E34" s="2207"/>
      <c r="F34" s="2356" t="str">
        <f>INDEX(PT_DIFFERENTIATION_VTAR,MATCH(A34,PT_DIFFERENTIATION_VTAR_ID,0))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 s="2393" t="str">
        <f>INDEX(PT_DIFFERENTIATION_NTAR,MATCH(B34,PT_DIFFERENTIATION_NTAR_ID,0))</f>
        <v/>
      </c>
      <c r="H34" s="1787"/>
      <c r="I34" s="1665"/>
      <c r="J34" s="1699"/>
      <c r="K34" s="1790"/>
      <c r="L34" s="1787" t="s">
        <v>312</v>
      </c>
      <c r="M34" s="2161"/>
      <c r="N34" s="272"/>
      <c r="O34" s="1551"/>
      <c r="P34" s="1551"/>
      <c r="AH34" s="1558">
        <v>0</v>
      </c>
    </row>
    <row r="35" spans="1:34" s="1562" customFormat="1" ht="18.75" hidden="1" customHeight="1">
      <c r="A35" s="1706"/>
      <c r="B35" s="1706"/>
      <c r="C35" s="306" t="s">
        <v>1156</v>
      </c>
      <c r="D35" s="2418"/>
      <c r="E35" s="2207"/>
      <c r="F35" s="2356"/>
      <c r="G35" s="2393"/>
      <c r="H35" s="1427"/>
      <c r="I35" s="588" t="s">
        <v>1157</v>
      </c>
      <c r="J35" s="508"/>
      <c r="K35" s="1427"/>
      <c r="L35" s="152"/>
      <c r="M35" s="2161"/>
      <c r="N35" s="272"/>
      <c r="O35" s="1551"/>
      <c r="P35" s="1551"/>
      <c r="AH35" s="1558">
        <v>0</v>
      </c>
    </row>
    <row r="36" spans="1:34" s="1562" customFormat="1" ht="0.75" hidden="1" customHeight="1">
      <c r="A36" s="1706"/>
      <c r="B36" s="1706"/>
      <c r="C36" s="306" t="s">
        <v>1162</v>
      </c>
      <c r="D36" s="2418"/>
      <c r="E36" s="2207"/>
      <c r="F36" s="2356"/>
      <c r="G36" s="337"/>
      <c r="H36" s="1427"/>
      <c r="I36" s="588"/>
      <c r="J36" s="508"/>
      <c r="K36" s="1427"/>
      <c r="L36" s="152"/>
      <c r="M36" s="2161"/>
      <c r="N36" s="272"/>
      <c r="O36" s="1551"/>
      <c r="P36" s="1551"/>
      <c r="AH36" s="1558">
        <v>0</v>
      </c>
    </row>
    <row r="37" spans="1:34" s="1562" customFormat="1" ht="18.75" hidden="1" customHeight="1">
      <c r="A37" s="1706" t="s">
        <v>186</v>
      </c>
      <c r="B37" s="1706" t="s">
        <v>187</v>
      </c>
      <c r="C37" s="306"/>
      <c r="D37" s="2418"/>
      <c r="E37" s="2207"/>
      <c r="F37" s="2356" t="str">
        <f>INDEX(PT_DIFFERENTIATION_VTAR,MATCH(A37,PT_DIFFERENTIATION_VTAR_ID,0))</f>
        <v>Тарифы на услуги по передаче тепловой энергии</v>
      </c>
      <c r="G37" s="2393" t="str">
        <f>INDEX(PT_DIFFERENTIATION_NTAR,MATCH(B37,PT_DIFFERENTIATION_NTAR_ID,0))</f>
        <v/>
      </c>
      <c r="H37" s="1787"/>
      <c r="I37" s="1665"/>
      <c r="J37" s="1699"/>
      <c r="K37" s="1790"/>
      <c r="L37" s="1787" t="s">
        <v>312</v>
      </c>
      <c r="M37" s="2161"/>
      <c r="N37" s="272"/>
      <c r="O37" s="1551"/>
      <c r="P37" s="1551"/>
      <c r="AH37" s="1558">
        <v>0</v>
      </c>
    </row>
    <row r="38" spans="1:34" s="1562" customFormat="1" ht="18.75" hidden="1" customHeight="1">
      <c r="A38" s="1706"/>
      <c r="B38" s="1706"/>
      <c r="C38" s="306" t="s">
        <v>1156</v>
      </c>
      <c r="D38" s="2418"/>
      <c r="E38" s="2207"/>
      <c r="F38" s="2356"/>
      <c r="G38" s="2393"/>
      <c r="H38" s="1427"/>
      <c r="I38" s="588" t="s">
        <v>1157</v>
      </c>
      <c r="J38" s="508"/>
      <c r="K38" s="1427"/>
      <c r="L38" s="152"/>
      <c r="M38" s="2161"/>
      <c r="N38" s="272"/>
      <c r="O38" s="1551"/>
      <c r="P38" s="1551"/>
      <c r="AH38" s="1558">
        <v>0</v>
      </c>
    </row>
    <row r="39" spans="1:34" s="1562" customFormat="1" ht="0.75" hidden="1" customHeight="1">
      <c r="A39" s="1706"/>
      <c r="B39" s="1706"/>
      <c r="C39" s="306" t="s">
        <v>1162</v>
      </c>
      <c r="D39" s="2418"/>
      <c r="E39" s="2207"/>
      <c r="F39" s="2356"/>
      <c r="G39" s="337"/>
      <c r="H39" s="1427"/>
      <c r="I39" s="588"/>
      <c r="J39" s="508"/>
      <c r="K39" s="1427"/>
      <c r="L39" s="152"/>
      <c r="M39" s="2161"/>
      <c r="N39" s="272"/>
      <c r="O39" s="1551"/>
      <c r="P39" s="1551"/>
      <c r="AH39" s="1558">
        <v>0</v>
      </c>
    </row>
    <row r="40" spans="1:34" s="1562" customFormat="1" ht="18.75" hidden="1" customHeight="1">
      <c r="A40" s="1706" t="s">
        <v>192</v>
      </c>
      <c r="B40" s="1706" t="s">
        <v>193</v>
      </c>
      <c r="C40" s="306"/>
      <c r="D40" s="2418"/>
      <c r="E40" s="2207"/>
      <c r="F40" s="2356" t="str">
        <f>INDEX(PT_DIFFERENTIATION_VTAR,MATCH(A40,PT_DIFFERENTIATION_VTAR_ID,0))</f>
        <v>Тарифы на услуги по передаче теплоносителя</v>
      </c>
      <c r="G40" s="2393" t="str">
        <f>INDEX(PT_DIFFERENTIATION_NTAR,MATCH(B40,PT_DIFFERENTIATION_NTAR_ID,0))</f>
        <v/>
      </c>
      <c r="H40" s="1787"/>
      <c r="I40" s="1665"/>
      <c r="J40" s="1699"/>
      <c r="K40" s="1790"/>
      <c r="L40" s="1787" t="s">
        <v>312</v>
      </c>
      <c r="M40" s="2161"/>
      <c r="N40" s="272"/>
      <c r="O40" s="1551"/>
      <c r="P40" s="1551"/>
      <c r="AH40" s="1558">
        <v>0</v>
      </c>
    </row>
    <row r="41" spans="1:34" s="1562" customFormat="1" ht="18.75" hidden="1" customHeight="1">
      <c r="A41" s="1706"/>
      <c r="B41" s="1706"/>
      <c r="C41" s="306" t="s">
        <v>1156</v>
      </c>
      <c r="D41" s="2418"/>
      <c r="E41" s="2207"/>
      <c r="F41" s="2356"/>
      <c r="G41" s="2393"/>
      <c r="H41" s="1427"/>
      <c r="I41" s="588" t="s">
        <v>1157</v>
      </c>
      <c r="J41" s="508"/>
      <c r="K41" s="1427"/>
      <c r="L41" s="152"/>
      <c r="M41" s="2161"/>
      <c r="N41" s="272"/>
      <c r="O41" s="1551"/>
      <c r="P41" s="1551"/>
      <c r="AH41" s="1558">
        <v>0</v>
      </c>
    </row>
    <row r="42" spans="1:34" s="1562" customFormat="1" ht="0.75" hidden="1" customHeight="1">
      <c r="A42" s="1706"/>
      <c r="B42" s="1706"/>
      <c r="C42" s="306" t="s">
        <v>1162</v>
      </c>
      <c r="D42" s="2418"/>
      <c r="E42" s="2207"/>
      <c r="F42" s="2356"/>
      <c r="G42" s="337"/>
      <c r="H42" s="1427"/>
      <c r="I42" s="588"/>
      <c r="J42" s="508"/>
      <c r="K42" s="1427"/>
      <c r="L42" s="152"/>
      <c r="M42" s="2161"/>
      <c r="N42" s="272"/>
      <c r="O42" s="1551"/>
      <c r="P42" s="1551"/>
      <c r="AH42" s="1558">
        <v>0</v>
      </c>
    </row>
    <row r="43" spans="1:34" s="1562" customFormat="1" ht="18.75" hidden="1" customHeight="1">
      <c r="A43" s="1706" t="s">
        <v>198</v>
      </c>
      <c r="B43" s="1706" t="s">
        <v>199</v>
      </c>
      <c r="C43" s="306"/>
      <c r="D43" s="2418"/>
      <c r="E43" s="2207"/>
      <c r="F43" s="2356" t="str">
        <f>INDEX(PT_DIFFERENTIATION_VTAR,MATCH(A43,PT_DIFFERENTIATION_VTAR_ID,0))</f>
        <v>Плата за услуги по поддержанию резервной тепловой мощности при отсутствии потребления тепловой энергии</v>
      </c>
      <c r="G43" s="2393" t="str">
        <f>INDEX(PT_DIFFERENTIATION_NTAR,MATCH(B43,PT_DIFFERENTIATION_NTAR_ID,0))</f>
        <v/>
      </c>
      <c r="H43" s="1787"/>
      <c r="I43" s="1665"/>
      <c r="J43" s="1699"/>
      <c r="K43" s="1790"/>
      <c r="L43" s="1787" t="s">
        <v>312</v>
      </c>
      <c r="M43" s="2161"/>
      <c r="N43" s="272"/>
      <c r="O43" s="1551"/>
      <c r="P43" s="1551"/>
      <c r="AH43" s="1558">
        <v>0</v>
      </c>
    </row>
    <row r="44" spans="1:34" s="1562" customFormat="1" ht="18.75" hidden="1" customHeight="1">
      <c r="A44" s="1706"/>
      <c r="B44" s="1706"/>
      <c r="C44" s="306" t="s">
        <v>1156</v>
      </c>
      <c r="D44" s="2418"/>
      <c r="E44" s="2207"/>
      <c r="F44" s="2356"/>
      <c r="G44" s="2393"/>
      <c r="H44" s="1427"/>
      <c r="I44" s="588" t="s">
        <v>1157</v>
      </c>
      <c r="J44" s="508"/>
      <c r="K44" s="1427"/>
      <c r="L44" s="152"/>
      <c r="M44" s="2161"/>
      <c r="N44" s="272"/>
      <c r="O44" s="1551"/>
      <c r="P44" s="1551"/>
      <c r="AH44" s="1558">
        <v>0</v>
      </c>
    </row>
    <row r="45" spans="1:34" s="1562" customFormat="1" ht="0.75" hidden="1" customHeight="1">
      <c r="A45" s="1706"/>
      <c r="B45" s="1706"/>
      <c r="C45" s="306" t="s">
        <v>1162</v>
      </c>
      <c r="D45" s="2418"/>
      <c r="E45" s="2207"/>
      <c r="F45" s="2356"/>
      <c r="G45" s="337"/>
      <c r="H45" s="1427"/>
      <c r="I45" s="588"/>
      <c r="J45" s="508"/>
      <c r="K45" s="1427"/>
      <c r="L45" s="152"/>
      <c r="M45" s="2161"/>
      <c r="N45" s="272"/>
      <c r="O45" s="1551"/>
      <c r="P45" s="1551"/>
      <c r="AH45" s="1558">
        <v>0</v>
      </c>
    </row>
    <row r="46" spans="1:34" s="1562" customFormat="1" ht="18.75" customHeight="1">
      <c r="A46" s="1706" t="s">
        <v>205</v>
      </c>
      <c r="B46" s="1706" t="s">
        <v>206</v>
      </c>
      <c r="C46" s="306"/>
      <c r="D46" s="2418"/>
      <c r="E46" s="2207"/>
      <c r="F46" s="2356" t="str">
        <f>INDEX(PT_DIFFERENTIATION_VTAR,MATCH(A46,PT_DIFFERENTIATION_VTAR_ID,0))</f>
        <v>Плата за подключение (технологическое присоединение) к системе теплоснабжения</v>
      </c>
      <c r="G46" s="2393" t="str">
        <f>INDEX(PT_DIFFERENTIATION_NTAR,MATCH(B46,PT_DIFFERENTIATION_NTAR_ID,0))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46" s="1787"/>
      <c r="I46" s="1665">
        <v>46023</v>
      </c>
      <c r="J46" s="1699">
        <v>46387</v>
      </c>
      <c r="K46" s="1790" t="s">
        <v>1164</v>
      </c>
      <c r="L46" s="1787" t="s">
        <v>312</v>
      </c>
      <c r="M46" s="2161"/>
      <c r="N46" s="272"/>
      <c r="O46" s="1551"/>
      <c r="P46" s="1551"/>
      <c r="AH46" s="1558">
        <v>0</v>
      </c>
    </row>
    <row r="47" spans="1:34" s="1562" customFormat="1" ht="36.6" customHeight="1">
      <c r="A47" s="1706"/>
      <c r="B47" s="1706"/>
      <c r="C47" s="306" t="s">
        <v>1156</v>
      </c>
      <c r="D47" s="2418"/>
      <c r="E47" s="2207"/>
      <c r="F47" s="2356"/>
      <c r="G47" s="2393"/>
      <c r="H47" s="1427"/>
      <c r="I47" s="588" t="s">
        <v>1157</v>
      </c>
      <c r="J47" s="508"/>
      <c r="K47" s="1427"/>
      <c r="L47" s="152"/>
      <c r="M47" s="2161"/>
      <c r="N47" s="272"/>
      <c r="O47" s="1551"/>
      <c r="P47" s="1551"/>
      <c r="AH47" s="1558">
        <v>0</v>
      </c>
    </row>
    <row r="48" spans="1:34" s="1562" customFormat="1" ht="0.75" customHeight="1">
      <c r="A48" s="1706"/>
      <c r="B48" s="1706"/>
      <c r="C48" s="306" t="s">
        <v>1162</v>
      </c>
      <c r="D48" s="2418"/>
      <c r="E48" s="2207"/>
      <c r="F48" s="2356"/>
      <c r="G48" s="337"/>
      <c r="H48" s="1427"/>
      <c r="I48" s="588"/>
      <c r="J48" s="508"/>
      <c r="K48" s="1427"/>
      <c r="L48" s="152"/>
      <c r="M48" s="2161"/>
      <c r="N48" s="272"/>
      <c r="O48" s="1551"/>
      <c r="P48" s="1551"/>
      <c r="AH48" s="1558">
        <v>0</v>
      </c>
    </row>
    <row r="49" spans="1:34" s="1562" customFormat="1" ht="18.75" hidden="1" customHeight="1">
      <c r="A49" s="1706" t="s">
        <v>211</v>
      </c>
      <c r="B49" s="1706" t="s">
        <v>212</v>
      </c>
      <c r="C49" s="306"/>
      <c r="D49" s="2418"/>
      <c r="E49" s="2207"/>
      <c r="F49" s="2356" t="str">
        <f>INDEX(PT_DIFFERENTIATION_VTAR,MATCH(A49,PT_DIFFERENTIATION_VTAR_ID,0))</f>
        <v>Плата за подключение (технологическое присоединение) к системе теплоснабжения (индивидуальная)</v>
      </c>
      <c r="G49" s="2393" t="str">
        <f>INDEX(PT_DIFFERENTIATION_NTAR,MATCH(B49,PT_DIFFERENTIATION_NTAR_ID,0))</f>
        <v/>
      </c>
      <c r="H49" s="1911"/>
      <c r="I49" s="1665"/>
      <c r="J49" s="1699"/>
      <c r="K49" s="1790"/>
      <c r="L49" s="1911" t="s">
        <v>312</v>
      </c>
      <c r="M49" s="2161"/>
      <c r="N49" s="272"/>
      <c r="O49" s="1551"/>
      <c r="P49" s="1551"/>
      <c r="AH49" s="1558">
        <v>0</v>
      </c>
    </row>
    <row r="50" spans="1:34" s="1562" customFormat="1" ht="18.75" hidden="1" customHeight="1">
      <c r="A50" s="1706"/>
      <c r="B50" s="1706"/>
      <c r="C50" s="306" t="s">
        <v>1156</v>
      </c>
      <c r="D50" s="2418"/>
      <c r="E50" s="2207"/>
      <c r="F50" s="2356"/>
      <c r="G50" s="2393"/>
      <c r="H50" s="1427"/>
      <c r="I50" s="588" t="s">
        <v>1157</v>
      </c>
      <c r="J50" s="508"/>
      <c r="K50" s="1427"/>
      <c r="L50" s="152"/>
      <c r="M50" s="2161"/>
      <c r="N50" s="272"/>
      <c r="O50" s="1551"/>
      <c r="P50" s="1551"/>
      <c r="AH50" s="1558">
        <v>0</v>
      </c>
    </row>
    <row r="51" spans="1:34" s="1562" customFormat="1" ht="0.75" hidden="1" customHeight="1">
      <c r="A51" s="1706"/>
      <c r="B51" s="1706"/>
      <c r="C51" s="306" t="s">
        <v>1162</v>
      </c>
      <c r="D51" s="2418"/>
      <c r="E51" s="2207"/>
      <c r="F51" s="2356"/>
      <c r="G51" s="337"/>
      <c r="H51" s="1427"/>
      <c r="I51" s="588"/>
      <c r="J51" s="508"/>
      <c r="K51" s="1427"/>
      <c r="L51" s="152"/>
      <c r="M51" s="2161"/>
      <c r="N51" s="272"/>
      <c r="O51" s="1551"/>
      <c r="P51" s="1551"/>
      <c r="AH51" s="1558">
        <v>0</v>
      </c>
    </row>
    <row r="52" spans="1:34" s="1562" customFormat="1" ht="18.75" hidden="1" customHeight="1">
      <c r="A52" s="1706" t="s">
        <v>231</v>
      </c>
      <c r="B52" s="1706" t="s">
        <v>232</v>
      </c>
      <c r="C52" s="306"/>
      <c r="D52" s="2418"/>
      <c r="E52" s="2207"/>
      <c r="F52" s="2356" t="str">
        <f>INDEX(PT_DIFFERENTIATION_VTAR,MATCH(A52,PT_DIFFERENTIATION_VTAR_ID,0))</f>
        <v>Тариф на питьевую воду (питьевое водоснабжение)</v>
      </c>
      <c r="G52" s="2393" t="str">
        <f>INDEX(PT_DIFFERENTIATION_NTAR,MATCH(B52,PT_DIFFERENTIATION_NTAR_ID,0))</f>
        <v/>
      </c>
      <c r="H52" s="1787"/>
      <c r="I52" s="1665"/>
      <c r="J52" s="1699"/>
      <c r="K52" s="1790"/>
      <c r="L52" s="1787" t="s">
        <v>312</v>
      </c>
      <c r="M52" s="2161"/>
      <c r="N52" s="272"/>
      <c r="O52" s="1551"/>
      <c r="P52" s="1551"/>
      <c r="AH52" s="1558">
        <v>0</v>
      </c>
    </row>
    <row r="53" spans="1:34" s="1562" customFormat="1" ht="18.75" hidden="1" customHeight="1">
      <c r="A53" s="1706"/>
      <c r="B53" s="1706"/>
      <c r="C53" s="306" t="s">
        <v>1156</v>
      </c>
      <c r="D53" s="2418"/>
      <c r="E53" s="2207"/>
      <c r="F53" s="2356"/>
      <c r="G53" s="2393"/>
      <c r="H53" s="1427"/>
      <c r="I53" s="588" t="s">
        <v>1157</v>
      </c>
      <c r="J53" s="508"/>
      <c r="K53" s="1427"/>
      <c r="L53" s="152"/>
      <c r="M53" s="2161"/>
      <c r="N53" s="272"/>
      <c r="O53" s="1551"/>
      <c r="P53" s="1551"/>
      <c r="AH53" s="1558">
        <v>0</v>
      </c>
    </row>
    <row r="54" spans="1:34" s="1562" customFormat="1" ht="0.75" hidden="1" customHeight="1">
      <c r="A54" s="1706"/>
      <c r="B54" s="1706"/>
      <c r="C54" s="306" t="s">
        <v>1162</v>
      </c>
      <c r="D54" s="2418"/>
      <c r="E54" s="2207"/>
      <c r="F54" s="2356"/>
      <c r="G54" s="337"/>
      <c r="H54" s="1427"/>
      <c r="I54" s="588"/>
      <c r="J54" s="508"/>
      <c r="K54" s="1427"/>
      <c r="L54" s="152"/>
      <c r="M54" s="2161"/>
      <c r="N54" s="272"/>
      <c r="O54" s="1551"/>
      <c r="P54" s="1551"/>
      <c r="AH54" s="1558">
        <v>0</v>
      </c>
    </row>
    <row r="55" spans="1:34" s="1562" customFormat="1" ht="18.75" hidden="1" customHeight="1">
      <c r="A55" s="1706" t="s">
        <v>236</v>
      </c>
      <c r="B55" s="1706" t="s">
        <v>237</v>
      </c>
      <c r="C55" s="306"/>
      <c r="D55" s="2418"/>
      <c r="E55" s="2207"/>
      <c r="F55" s="2356" t="str">
        <f>INDEX(PT_DIFFERENTIATION_VTAR,MATCH(A55,PT_DIFFERENTIATION_VTAR_ID,0))</f>
        <v>Тариф на техническую воду</v>
      </c>
      <c r="G55" s="2393" t="str">
        <f>INDEX(PT_DIFFERENTIATION_NTAR,MATCH(B55,PT_DIFFERENTIATION_NTAR_ID,0))</f>
        <v/>
      </c>
      <c r="H55" s="1787"/>
      <c r="I55" s="1665"/>
      <c r="J55" s="1699"/>
      <c r="K55" s="1790"/>
      <c r="L55" s="1787" t="s">
        <v>312</v>
      </c>
      <c r="M55" s="2161"/>
      <c r="N55" s="272"/>
      <c r="O55" s="1551"/>
      <c r="P55" s="1551"/>
      <c r="AH55" s="1558">
        <v>0</v>
      </c>
    </row>
    <row r="56" spans="1:34" s="1562" customFormat="1" ht="18.75" hidden="1" customHeight="1">
      <c r="A56" s="1706"/>
      <c r="B56" s="1706"/>
      <c r="C56" s="306" t="s">
        <v>1156</v>
      </c>
      <c r="D56" s="2418"/>
      <c r="E56" s="2207"/>
      <c r="F56" s="2356"/>
      <c r="G56" s="2393"/>
      <c r="H56" s="1427"/>
      <c r="I56" s="588" t="s">
        <v>1157</v>
      </c>
      <c r="J56" s="508"/>
      <c r="K56" s="1427"/>
      <c r="L56" s="152"/>
      <c r="M56" s="2161"/>
      <c r="N56" s="272"/>
      <c r="O56" s="1551"/>
      <c r="P56" s="1551"/>
      <c r="AH56" s="1558">
        <v>0</v>
      </c>
    </row>
    <row r="57" spans="1:34" s="1562" customFormat="1" ht="0.75" hidden="1" customHeight="1">
      <c r="A57" s="1706"/>
      <c r="B57" s="1706"/>
      <c r="C57" s="306" t="s">
        <v>1162</v>
      </c>
      <c r="D57" s="2418"/>
      <c r="E57" s="2207"/>
      <c r="F57" s="2356"/>
      <c r="G57" s="337"/>
      <c r="H57" s="1427"/>
      <c r="I57" s="588"/>
      <c r="J57" s="508"/>
      <c r="K57" s="1427"/>
      <c r="L57" s="152"/>
      <c r="M57" s="2161"/>
      <c r="N57" s="272"/>
      <c r="O57" s="1551"/>
      <c r="P57" s="1551"/>
      <c r="AH57" s="1558">
        <v>0</v>
      </c>
    </row>
    <row r="58" spans="1:34" s="1562" customFormat="1" ht="18.75" hidden="1" customHeight="1">
      <c r="A58" s="1706" t="s">
        <v>241</v>
      </c>
      <c r="B58" s="1706" t="s">
        <v>242</v>
      </c>
      <c r="C58" s="306"/>
      <c r="D58" s="2418"/>
      <c r="E58" s="2207"/>
      <c r="F58" s="2356" t="str">
        <f>INDEX(PT_DIFFERENTIATION_VTAR,MATCH(A58,PT_DIFFERENTIATION_VTAR_ID,0))</f>
        <v>Тариф на транспортировку воды</v>
      </c>
      <c r="G58" s="2393" t="str">
        <f>INDEX(PT_DIFFERENTIATION_NTAR,MATCH(B58,PT_DIFFERENTIATION_NTAR_ID,0))</f>
        <v/>
      </c>
      <c r="H58" s="1787"/>
      <c r="I58" s="1665"/>
      <c r="J58" s="1699"/>
      <c r="K58" s="1790"/>
      <c r="L58" s="1787" t="s">
        <v>312</v>
      </c>
      <c r="M58" s="2161"/>
      <c r="N58" s="272"/>
      <c r="O58" s="1551"/>
      <c r="P58" s="1551"/>
      <c r="AH58" s="1558">
        <v>0</v>
      </c>
    </row>
    <row r="59" spans="1:34" s="1562" customFormat="1" ht="18.75" hidden="1" customHeight="1">
      <c r="A59" s="1706"/>
      <c r="B59" s="1706"/>
      <c r="C59" s="306" t="s">
        <v>1156</v>
      </c>
      <c r="D59" s="2418"/>
      <c r="E59" s="2207"/>
      <c r="F59" s="2356"/>
      <c r="G59" s="2393"/>
      <c r="H59" s="1427"/>
      <c r="I59" s="588" t="s">
        <v>1157</v>
      </c>
      <c r="J59" s="508"/>
      <c r="K59" s="1427"/>
      <c r="L59" s="152"/>
      <c r="M59" s="2161"/>
      <c r="N59" s="272"/>
      <c r="O59" s="1551"/>
      <c r="P59" s="1551"/>
      <c r="AH59" s="1558">
        <v>0</v>
      </c>
    </row>
    <row r="60" spans="1:34" s="1562" customFormat="1" ht="0.75" hidden="1" customHeight="1">
      <c r="A60" s="1706"/>
      <c r="B60" s="1706"/>
      <c r="C60" s="306" t="s">
        <v>1162</v>
      </c>
      <c r="D60" s="2418"/>
      <c r="E60" s="2207"/>
      <c r="F60" s="2356"/>
      <c r="G60" s="337"/>
      <c r="H60" s="1427"/>
      <c r="I60" s="588"/>
      <c r="J60" s="508"/>
      <c r="K60" s="1427"/>
      <c r="L60" s="152"/>
      <c r="M60" s="2161"/>
      <c r="N60" s="272"/>
      <c r="O60" s="1551"/>
      <c r="P60" s="1551"/>
      <c r="AH60" s="1558">
        <v>0</v>
      </c>
    </row>
    <row r="61" spans="1:34" s="1562" customFormat="1" ht="18.75" hidden="1" customHeight="1">
      <c r="A61" s="1706" t="s">
        <v>246</v>
      </c>
      <c r="B61" s="1706" t="s">
        <v>247</v>
      </c>
      <c r="C61" s="306"/>
      <c r="D61" s="2418"/>
      <c r="E61" s="2207"/>
      <c r="F61" s="2356" t="str">
        <f>INDEX(PT_DIFFERENTIATION_VTAR,MATCH(A61,PT_DIFFERENTIATION_VTAR_ID,0))</f>
        <v>Тариф на подвоз воды</v>
      </c>
      <c r="G61" s="2393" t="str">
        <f>INDEX(PT_DIFFERENTIATION_NTAR,MATCH(B61,PT_DIFFERENTIATION_NTAR_ID,0))</f>
        <v/>
      </c>
      <c r="H61" s="1787"/>
      <c r="I61" s="1665"/>
      <c r="J61" s="1699"/>
      <c r="K61" s="1790"/>
      <c r="L61" s="1787" t="s">
        <v>312</v>
      </c>
      <c r="M61" s="2161"/>
      <c r="N61" s="272"/>
      <c r="O61" s="1551"/>
      <c r="P61" s="1551"/>
      <c r="AH61" s="1558">
        <v>0</v>
      </c>
    </row>
    <row r="62" spans="1:34" s="1562" customFormat="1" ht="18.75" hidden="1" customHeight="1">
      <c r="A62" s="1706"/>
      <c r="B62" s="1706"/>
      <c r="C62" s="306" t="s">
        <v>1156</v>
      </c>
      <c r="D62" s="2418"/>
      <c r="E62" s="2207"/>
      <c r="F62" s="2356"/>
      <c r="G62" s="2393"/>
      <c r="H62" s="1427"/>
      <c r="I62" s="588" t="s">
        <v>1157</v>
      </c>
      <c r="J62" s="508"/>
      <c r="K62" s="1427"/>
      <c r="L62" s="152"/>
      <c r="M62" s="2161"/>
      <c r="N62" s="272"/>
      <c r="O62" s="1551"/>
      <c r="P62" s="1551"/>
      <c r="AH62" s="1558">
        <v>0</v>
      </c>
    </row>
    <row r="63" spans="1:34" s="1562" customFormat="1" ht="0.75" hidden="1" customHeight="1">
      <c r="A63" s="1706"/>
      <c r="B63" s="1706"/>
      <c r="C63" s="306" t="s">
        <v>1162</v>
      </c>
      <c r="D63" s="2418"/>
      <c r="E63" s="2207"/>
      <c r="F63" s="2356"/>
      <c r="G63" s="337"/>
      <c r="H63" s="1427"/>
      <c r="I63" s="588"/>
      <c r="J63" s="508"/>
      <c r="K63" s="1427"/>
      <c r="L63" s="152"/>
      <c r="M63" s="2161"/>
      <c r="N63" s="272"/>
      <c r="O63" s="1551"/>
      <c r="P63" s="1551"/>
      <c r="AH63" s="1558">
        <v>0</v>
      </c>
    </row>
    <row r="64" spans="1:34" s="1562" customFormat="1" ht="18.75" hidden="1" customHeight="1">
      <c r="A64" s="1706" t="s">
        <v>251</v>
      </c>
      <c r="B64" s="1706" t="s">
        <v>252</v>
      </c>
      <c r="C64" s="306"/>
      <c r="D64" s="2418"/>
      <c r="E64" s="2207"/>
      <c r="F64" s="2356" t="str">
        <f>INDEX(PT_DIFFERENTIATION_VTAR,MATCH(A64,PT_DIFFERENTIATION_VTAR_ID,0))</f>
        <v>Тариф на подключение (технологическое присоединение) к централизованной системе холодного водоснабжения</v>
      </c>
      <c r="G64" s="2393" t="str">
        <f>INDEX(PT_DIFFERENTIATION_NTAR,MATCH(B64,PT_DIFFERENTIATION_NTAR_ID,0))</f>
        <v/>
      </c>
      <c r="H64" s="1787"/>
      <c r="I64" s="1665"/>
      <c r="J64" s="1699"/>
      <c r="K64" s="1790"/>
      <c r="L64" s="1787" t="s">
        <v>312</v>
      </c>
      <c r="M64" s="2161"/>
      <c r="N64" s="272"/>
      <c r="O64" s="1551"/>
      <c r="P64" s="1551"/>
      <c r="AH64" s="1558">
        <v>0</v>
      </c>
    </row>
    <row r="65" spans="1:34" s="1562" customFormat="1" ht="18.75" hidden="1" customHeight="1">
      <c r="A65" s="1706"/>
      <c r="B65" s="1706"/>
      <c r="C65" s="306" t="s">
        <v>1156</v>
      </c>
      <c r="D65" s="2418"/>
      <c r="E65" s="2207"/>
      <c r="F65" s="2356"/>
      <c r="G65" s="2393"/>
      <c r="H65" s="1427"/>
      <c r="I65" s="588" t="s">
        <v>1157</v>
      </c>
      <c r="J65" s="508"/>
      <c r="K65" s="1427"/>
      <c r="L65" s="152"/>
      <c r="M65" s="2161"/>
      <c r="N65" s="272"/>
      <c r="O65" s="1551"/>
      <c r="P65" s="1551"/>
      <c r="AH65" s="1558">
        <v>0</v>
      </c>
    </row>
    <row r="66" spans="1:34" s="1562" customFormat="1" ht="0.75" hidden="1" customHeight="1">
      <c r="A66" s="1706"/>
      <c r="B66" s="1706"/>
      <c r="C66" s="306" t="s">
        <v>1162</v>
      </c>
      <c r="D66" s="2418"/>
      <c r="E66" s="2207"/>
      <c r="F66" s="2356"/>
      <c r="G66" s="337"/>
      <c r="H66" s="1427"/>
      <c r="I66" s="588"/>
      <c r="J66" s="508"/>
      <c r="K66" s="1427"/>
      <c r="L66" s="152"/>
      <c r="M66" s="2161"/>
      <c r="N66" s="272"/>
      <c r="O66" s="1551"/>
      <c r="P66" s="1551"/>
      <c r="AH66" s="1558">
        <v>0</v>
      </c>
    </row>
    <row r="67" spans="1:34" s="1562" customFormat="1" ht="18.75" hidden="1" customHeight="1">
      <c r="A67" s="1706" t="s">
        <v>256</v>
      </c>
      <c r="B67" s="1706" t="s">
        <v>257</v>
      </c>
      <c r="C67" s="306"/>
      <c r="D67" s="2418"/>
      <c r="E67" s="2207"/>
      <c r="F67" s="2356" t="str">
        <f>INDEX(PT_DIFFERENTIATION_VTAR,MATCH(A67,PT_DIFFERENTIATION_VTAR_ID,0))</f>
        <v>Тариф на горячую воду (горячее водоснабжение)</v>
      </c>
      <c r="G67" s="2393" t="str">
        <f>INDEX(PT_DIFFERENTIATION_NTAR,MATCH(B67,PT_DIFFERENTIATION_NTAR_ID,0))</f>
        <v/>
      </c>
      <c r="H67" s="1787"/>
      <c r="I67" s="1665"/>
      <c r="J67" s="1699"/>
      <c r="K67" s="1790"/>
      <c r="L67" s="1787" t="s">
        <v>312</v>
      </c>
      <c r="M67" s="2161"/>
      <c r="N67" s="272"/>
      <c r="O67" s="1551"/>
      <c r="P67" s="1551"/>
      <c r="AH67" s="1558">
        <v>0</v>
      </c>
    </row>
    <row r="68" spans="1:34" s="1562" customFormat="1" ht="18.75" hidden="1" customHeight="1">
      <c r="A68" s="1706"/>
      <c r="B68" s="1706"/>
      <c r="C68" s="306" t="s">
        <v>1156</v>
      </c>
      <c r="D68" s="2418"/>
      <c r="E68" s="2207"/>
      <c r="F68" s="2356"/>
      <c r="G68" s="2393"/>
      <c r="H68" s="1427"/>
      <c r="I68" s="588" t="s">
        <v>1157</v>
      </c>
      <c r="J68" s="508"/>
      <c r="K68" s="1427"/>
      <c r="L68" s="152"/>
      <c r="M68" s="2161"/>
      <c r="N68" s="272"/>
      <c r="O68" s="1551"/>
      <c r="P68" s="1551"/>
      <c r="AH68" s="1558">
        <v>0</v>
      </c>
    </row>
    <row r="69" spans="1:34" s="1562" customFormat="1" ht="0.75" hidden="1" customHeight="1">
      <c r="A69" s="1706"/>
      <c r="B69" s="1706"/>
      <c r="C69" s="306" t="s">
        <v>1162</v>
      </c>
      <c r="D69" s="2418"/>
      <c r="E69" s="2207"/>
      <c r="F69" s="2356"/>
      <c r="G69" s="337"/>
      <c r="H69" s="1427"/>
      <c r="I69" s="588"/>
      <c r="J69" s="508"/>
      <c r="K69" s="1427"/>
      <c r="L69" s="152"/>
      <c r="M69" s="2161"/>
      <c r="N69" s="272"/>
      <c r="O69" s="1551"/>
      <c r="P69" s="1551"/>
      <c r="AH69" s="1558">
        <v>0</v>
      </c>
    </row>
    <row r="70" spans="1:34" s="1562" customFormat="1" ht="18.75" hidden="1" customHeight="1">
      <c r="A70" s="1706" t="s">
        <v>261</v>
      </c>
      <c r="B70" s="1706" t="s">
        <v>262</v>
      </c>
      <c r="C70" s="306"/>
      <c r="D70" s="2418"/>
      <c r="E70" s="2207"/>
      <c r="F70" s="2356" t="str">
        <f>INDEX(PT_DIFFERENTIATION_VTAR,MATCH(A70,PT_DIFFERENTIATION_VTAR_ID,0))</f>
        <v>Тариф на транспортировку горячей воды</v>
      </c>
      <c r="G70" s="2393" t="str">
        <f>INDEX(PT_DIFFERENTIATION_NTAR,MATCH(B70,PT_DIFFERENTIATION_NTAR_ID,0))</f>
        <v/>
      </c>
      <c r="H70" s="1787"/>
      <c r="I70" s="1665"/>
      <c r="J70" s="1699"/>
      <c r="K70" s="1790"/>
      <c r="L70" s="1787" t="s">
        <v>312</v>
      </c>
      <c r="M70" s="2161"/>
      <c r="N70" s="272"/>
      <c r="O70" s="1551"/>
      <c r="P70" s="1551"/>
      <c r="AH70" s="1558">
        <v>0</v>
      </c>
    </row>
    <row r="71" spans="1:34" s="1562" customFormat="1" ht="18.75" hidden="1" customHeight="1">
      <c r="A71" s="1706"/>
      <c r="B71" s="1706"/>
      <c r="C71" s="306" t="s">
        <v>1156</v>
      </c>
      <c r="D71" s="2418"/>
      <c r="E71" s="2207"/>
      <c r="F71" s="2356"/>
      <c r="G71" s="2393"/>
      <c r="H71" s="1427"/>
      <c r="I71" s="588" t="s">
        <v>1157</v>
      </c>
      <c r="J71" s="508"/>
      <c r="K71" s="1427"/>
      <c r="L71" s="152"/>
      <c r="M71" s="2161"/>
      <c r="N71" s="272"/>
      <c r="O71" s="1551"/>
      <c r="P71" s="1551"/>
      <c r="AH71" s="1558">
        <v>0</v>
      </c>
    </row>
    <row r="72" spans="1:34" s="1562" customFormat="1" ht="0.75" hidden="1" customHeight="1">
      <c r="A72" s="1706"/>
      <c r="B72" s="1706"/>
      <c r="C72" s="306" t="s">
        <v>1162</v>
      </c>
      <c r="D72" s="2418"/>
      <c r="E72" s="2207"/>
      <c r="F72" s="2356"/>
      <c r="G72" s="337"/>
      <c r="H72" s="1427"/>
      <c r="I72" s="588"/>
      <c r="J72" s="508"/>
      <c r="K72" s="1427"/>
      <c r="L72" s="152"/>
      <c r="M72" s="2161"/>
      <c r="N72" s="272"/>
      <c r="O72" s="1551"/>
      <c r="P72" s="1551"/>
      <c r="AH72" s="1558">
        <v>0</v>
      </c>
    </row>
    <row r="73" spans="1:34" s="1562" customFormat="1" ht="18.75" hidden="1" customHeight="1">
      <c r="A73" s="1706" t="s">
        <v>266</v>
      </c>
      <c r="B73" s="1706" t="s">
        <v>267</v>
      </c>
      <c r="C73" s="306"/>
      <c r="D73" s="2418"/>
      <c r="E73" s="2207"/>
      <c r="F73" s="2356" t="str">
        <f>INDEX(PT_DIFFERENTIATION_VTAR,MATCH(A73,PT_DIFFERENTIATION_VTAR_ID,0))</f>
        <v>Тариф на подключение (технологическое присоединение) к централизованной системе горячего водоснабжения</v>
      </c>
      <c r="G73" s="2393" t="str">
        <f>INDEX(PT_DIFFERENTIATION_NTAR,MATCH(B73,PT_DIFFERENTIATION_NTAR_ID,0))</f>
        <v/>
      </c>
      <c r="H73" s="1787"/>
      <c r="I73" s="1665"/>
      <c r="J73" s="1699"/>
      <c r="K73" s="1790"/>
      <c r="L73" s="1787" t="s">
        <v>312</v>
      </c>
      <c r="M73" s="2161"/>
      <c r="N73" s="272"/>
      <c r="O73" s="1551"/>
      <c r="P73" s="1551"/>
      <c r="AH73" s="1558">
        <v>0</v>
      </c>
    </row>
    <row r="74" spans="1:34" s="1562" customFormat="1" ht="18.75" hidden="1" customHeight="1">
      <c r="A74" s="1706"/>
      <c r="B74" s="1706"/>
      <c r="C74" s="306" t="s">
        <v>1156</v>
      </c>
      <c r="D74" s="2418"/>
      <c r="E74" s="2207"/>
      <c r="F74" s="2356"/>
      <c r="G74" s="2393"/>
      <c r="H74" s="1427"/>
      <c r="I74" s="588" t="s">
        <v>1157</v>
      </c>
      <c r="J74" s="508"/>
      <c r="K74" s="1427"/>
      <c r="L74" s="152"/>
      <c r="M74" s="2161"/>
      <c r="N74" s="272"/>
      <c r="O74" s="1551"/>
      <c r="P74" s="1551"/>
      <c r="AH74" s="1558">
        <v>0</v>
      </c>
    </row>
    <row r="75" spans="1:34" s="1562" customFormat="1" ht="0.75" hidden="1" customHeight="1">
      <c r="A75" s="1706"/>
      <c r="B75" s="1706"/>
      <c r="C75" s="306" t="s">
        <v>1162</v>
      </c>
      <c r="D75" s="2418"/>
      <c r="E75" s="2207"/>
      <c r="F75" s="2356"/>
      <c r="G75" s="337"/>
      <c r="H75" s="1427"/>
      <c r="I75" s="588"/>
      <c r="J75" s="508"/>
      <c r="K75" s="1427"/>
      <c r="L75" s="152"/>
      <c r="M75" s="2161"/>
      <c r="N75" s="272"/>
      <c r="O75" s="1551"/>
      <c r="P75" s="1551"/>
      <c r="AH75" s="1558">
        <v>0</v>
      </c>
    </row>
    <row r="76" spans="1:34" s="1562" customFormat="1" ht="18.75" hidden="1" customHeight="1">
      <c r="A76" s="1706" t="s">
        <v>271</v>
      </c>
      <c r="B76" s="1706" t="s">
        <v>272</v>
      </c>
      <c r="C76" s="306"/>
      <c r="D76" s="2418"/>
      <c r="E76" s="2207"/>
      <c r="F76" s="2356" t="str">
        <f>INDEX(PT_DIFFERENTIATION_VTAR,MATCH(A76,PT_DIFFERENTIATION_VTAR_ID,0))</f>
        <v>Тариф на водоотведение</v>
      </c>
      <c r="G76" s="2393" t="str">
        <f>INDEX(PT_DIFFERENTIATION_NTAR,MATCH(B76,PT_DIFFERENTIATION_NTAR_ID,0))</f>
        <v/>
      </c>
      <c r="H76" s="1787"/>
      <c r="I76" s="1665"/>
      <c r="J76" s="1699"/>
      <c r="K76" s="1790"/>
      <c r="L76" s="1787" t="s">
        <v>312</v>
      </c>
      <c r="M76" s="2161"/>
      <c r="N76" s="272"/>
      <c r="O76" s="1551"/>
      <c r="P76" s="1551"/>
      <c r="AH76" s="1558">
        <v>0</v>
      </c>
    </row>
    <row r="77" spans="1:34" s="1562" customFormat="1" ht="18.75" hidden="1" customHeight="1">
      <c r="A77" s="1706"/>
      <c r="B77" s="1706"/>
      <c r="C77" s="306" t="s">
        <v>1156</v>
      </c>
      <c r="D77" s="2418"/>
      <c r="E77" s="2207"/>
      <c r="F77" s="2356"/>
      <c r="G77" s="2393"/>
      <c r="H77" s="1427"/>
      <c r="I77" s="588" t="s">
        <v>1157</v>
      </c>
      <c r="J77" s="508"/>
      <c r="K77" s="1427"/>
      <c r="L77" s="152"/>
      <c r="M77" s="2161"/>
      <c r="N77" s="272"/>
      <c r="O77" s="1551"/>
      <c r="P77" s="1551"/>
      <c r="AH77" s="1558">
        <v>0</v>
      </c>
    </row>
    <row r="78" spans="1:34" s="1562" customFormat="1" ht="0.75" hidden="1" customHeight="1">
      <c r="A78" s="1706"/>
      <c r="B78" s="1706"/>
      <c r="C78" s="306" t="s">
        <v>1162</v>
      </c>
      <c r="D78" s="2418"/>
      <c r="E78" s="2207"/>
      <c r="F78" s="2356"/>
      <c r="G78" s="337"/>
      <c r="H78" s="1427"/>
      <c r="I78" s="588"/>
      <c r="J78" s="508"/>
      <c r="K78" s="1427"/>
      <c r="L78" s="152"/>
      <c r="M78" s="2161"/>
      <c r="N78" s="272"/>
      <c r="O78" s="1551"/>
      <c r="P78" s="1551"/>
      <c r="AH78" s="1558">
        <v>0</v>
      </c>
    </row>
    <row r="79" spans="1:34" s="1562" customFormat="1" ht="18.75" hidden="1" customHeight="1">
      <c r="A79" s="1706" t="s">
        <v>276</v>
      </c>
      <c r="B79" s="1706" t="s">
        <v>277</v>
      </c>
      <c r="C79" s="306"/>
      <c r="D79" s="2418"/>
      <c r="E79" s="2207"/>
      <c r="F79" s="2356" t="str">
        <f>INDEX(PT_DIFFERENTIATION_VTAR,MATCH(A79,PT_DIFFERENTIATION_VTAR_ID,0))</f>
        <v>Тариф на транспортировку сточных вод</v>
      </c>
      <c r="G79" s="2393" t="str">
        <f>INDEX(PT_DIFFERENTIATION_NTAR,MATCH(B79,PT_DIFFERENTIATION_NTAR_ID,0))</f>
        <v/>
      </c>
      <c r="H79" s="1787"/>
      <c r="I79" s="1665"/>
      <c r="J79" s="1699"/>
      <c r="K79" s="1790"/>
      <c r="L79" s="1787" t="s">
        <v>312</v>
      </c>
      <c r="M79" s="2161"/>
      <c r="N79" s="272"/>
      <c r="O79" s="1551"/>
      <c r="P79" s="1551"/>
      <c r="AH79" s="1558">
        <v>0</v>
      </c>
    </row>
    <row r="80" spans="1:34" s="1562" customFormat="1" ht="18.75" hidden="1" customHeight="1">
      <c r="A80" s="1706"/>
      <c r="B80" s="1706"/>
      <c r="C80" s="306" t="s">
        <v>1156</v>
      </c>
      <c r="D80" s="2418"/>
      <c r="E80" s="2207"/>
      <c r="F80" s="2356"/>
      <c r="G80" s="2393"/>
      <c r="H80" s="1427"/>
      <c r="I80" s="588" t="s">
        <v>1157</v>
      </c>
      <c r="J80" s="508"/>
      <c r="K80" s="1427"/>
      <c r="L80" s="152"/>
      <c r="M80" s="2161"/>
      <c r="N80" s="272"/>
      <c r="O80" s="1551"/>
      <c r="P80" s="1551"/>
      <c r="AH80" s="1558">
        <v>0</v>
      </c>
    </row>
    <row r="81" spans="1:34" s="1562" customFormat="1" ht="0.75" hidden="1" customHeight="1">
      <c r="A81" s="1706"/>
      <c r="B81" s="1706"/>
      <c r="C81" s="306" t="s">
        <v>1162</v>
      </c>
      <c r="D81" s="2418"/>
      <c r="E81" s="2207"/>
      <c r="F81" s="2356"/>
      <c r="G81" s="337"/>
      <c r="H81" s="1427"/>
      <c r="I81" s="588"/>
      <c r="J81" s="508"/>
      <c r="K81" s="1427"/>
      <c r="L81" s="152"/>
      <c r="M81" s="2161"/>
      <c r="N81" s="272"/>
      <c r="O81" s="1551"/>
      <c r="P81" s="1551"/>
      <c r="AH81" s="1558">
        <v>0</v>
      </c>
    </row>
    <row r="82" spans="1:34" s="1562" customFormat="1" ht="18.75" hidden="1" customHeight="1">
      <c r="A82" s="1706" t="s">
        <v>281</v>
      </c>
      <c r="B82" s="1706" t="s">
        <v>282</v>
      </c>
      <c r="C82" s="306"/>
      <c r="D82" s="2418"/>
      <c r="E82" s="2207"/>
      <c r="F82" s="2356" t="str">
        <f>INDEX(PT_DIFFERENTIATION_VTAR,MATCH(A82,PT_DIFFERENTIATION_VTAR_ID,0))</f>
        <v>Тариф на подключение (технологическое присоединение) к централизованной системе водоотведения</v>
      </c>
      <c r="G82" s="2393" t="str">
        <f>INDEX(PT_DIFFERENTIATION_NTAR,MATCH(B82,PT_DIFFERENTIATION_NTAR_ID,0))</f>
        <v/>
      </c>
      <c r="H82" s="1787"/>
      <c r="I82" s="1665"/>
      <c r="J82" s="1699"/>
      <c r="K82" s="1790"/>
      <c r="L82" s="1787" t="s">
        <v>312</v>
      </c>
      <c r="M82" s="2161"/>
      <c r="N82" s="272"/>
      <c r="O82" s="1551"/>
      <c r="P82" s="1551"/>
      <c r="AH82" s="1558">
        <v>0</v>
      </c>
    </row>
    <row r="83" spans="1:34" s="1562" customFormat="1" ht="18.75" hidden="1" customHeight="1">
      <c r="A83" s="1706"/>
      <c r="B83" s="1706"/>
      <c r="C83" s="306" t="s">
        <v>1156</v>
      </c>
      <c r="D83" s="2418"/>
      <c r="E83" s="2207"/>
      <c r="F83" s="2356"/>
      <c r="G83" s="2393"/>
      <c r="H83" s="1427"/>
      <c r="I83" s="588" t="s">
        <v>1157</v>
      </c>
      <c r="J83" s="508"/>
      <c r="K83" s="1427"/>
      <c r="L83" s="152"/>
      <c r="M83" s="2161"/>
      <c r="N83" s="272"/>
      <c r="O83" s="1551"/>
      <c r="P83" s="1551"/>
      <c r="AH83" s="1558">
        <v>0</v>
      </c>
    </row>
    <row r="84" spans="1:34" s="1562" customFormat="1" ht="1.1499999999999999" customHeight="1">
      <c r="A84" s="1706"/>
      <c r="B84" s="1706"/>
      <c r="C84" s="306" t="s">
        <v>1162</v>
      </c>
      <c r="D84" s="2418"/>
      <c r="E84" s="2207"/>
      <c r="F84" s="2356"/>
      <c r="G84" s="337"/>
      <c r="H84" s="1427"/>
      <c r="I84" s="588"/>
      <c r="J84" s="508"/>
      <c r="K84" s="1427"/>
      <c r="L84" s="152"/>
      <c r="M84" s="2161"/>
      <c r="N84" s="272"/>
      <c r="O84" s="1551"/>
      <c r="P84" s="1551"/>
      <c r="AH84" s="1558">
        <v>1</v>
      </c>
    </row>
    <row r="85" spans="1:34" ht="19.899999999999999" customHeight="1">
      <c r="A85" s="1706"/>
      <c r="B85" s="1706"/>
      <c r="D85" s="313"/>
      <c r="E85" s="85" t="s">
        <v>111</v>
      </c>
      <c r="F85" s="241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5" s="2417"/>
      <c r="H85" s="2417"/>
      <c r="I85" s="2417"/>
      <c r="J85" s="2417"/>
      <c r="K85" s="2417"/>
      <c r="L85" s="2417"/>
      <c r="M85" s="235"/>
      <c r="N85" s="272"/>
      <c r="AH85" s="311">
        <v>19</v>
      </c>
    </row>
    <row r="86" spans="1:34" ht="35.65" customHeight="1">
      <c r="A86" s="1706"/>
      <c r="B86" s="1706"/>
      <c r="D86" s="313"/>
      <c r="E86" s="336"/>
      <c r="F86" s="136" t="s">
        <v>312</v>
      </c>
      <c r="G86" s="136" t="s">
        <v>312</v>
      </c>
      <c r="H86" s="2217" t="s">
        <v>312</v>
      </c>
      <c r="I86" s="2231"/>
      <c r="J86" s="136" t="s">
        <v>312</v>
      </c>
      <c r="K86" s="136" t="s">
        <v>312</v>
      </c>
      <c r="L86" s="2078" t="s">
        <v>1165</v>
      </c>
      <c r="M86" s="283" t="s">
        <v>1166</v>
      </c>
      <c r="N86" s="272"/>
      <c r="AH86" s="311">
        <v>34</v>
      </c>
    </row>
    <row r="87" spans="1:34" ht="19.899999999999999" customHeight="1">
      <c r="A87" s="1706"/>
      <c r="B87" s="1706"/>
      <c r="D87" s="313"/>
      <c r="E87" s="85" t="s">
        <v>90</v>
      </c>
      <c r="F87" s="2417" t="s">
        <v>1167</v>
      </c>
      <c r="G87" s="2417"/>
      <c r="H87" s="2417"/>
      <c r="I87" s="2417"/>
      <c r="J87" s="2417"/>
      <c r="K87" s="2417"/>
      <c r="L87" s="2417"/>
      <c r="M87" s="235"/>
      <c r="N87" s="272"/>
      <c r="AH87" s="311">
        <v>19</v>
      </c>
    </row>
    <row r="88" spans="1:34" s="1562" customFormat="1" ht="60.75" hidden="1" customHeight="1">
      <c r="A88" s="1706" t="s">
        <v>156</v>
      </c>
      <c r="B88" s="1706" t="s">
        <v>157</v>
      </c>
      <c r="C88" s="306"/>
      <c r="D88" s="2418"/>
      <c r="E88" s="2207"/>
      <c r="F88" s="2356"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393" t="str">
        <f>INDEX(PT_DIFFERENTIATION_NTAR,MATCH(B88,PT_DIFFERENTIATION_NTAR_ID,0))</f>
        <v/>
      </c>
      <c r="H88" s="1787"/>
      <c r="I88" s="1665"/>
      <c r="J88" s="1699"/>
      <c r="K88" s="1704"/>
      <c r="L88" s="1787" t="s">
        <v>312</v>
      </c>
      <c r="M88"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72"/>
      <c r="O88" s="1551"/>
      <c r="P88" s="1551"/>
      <c r="AH88" s="1558">
        <v>0</v>
      </c>
    </row>
    <row r="89" spans="1:34" s="1562" customFormat="1" ht="18.75" hidden="1" customHeight="1">
      <c r="A89" s="1706"/>
      <c r="B89" s="1706"/>
      <c r="C89" s="306" t="s">
        <v>1158</v>
      </c>
      <c r="D89" s="2418"/>
      <c r="E89" s="2207"/>
      <c r="F89" s="2356"/>
      <c r="G89" s="2393"/>
      <c r="H89" s="1427"/>
      <c r="I89" s="588" t="s">
        <v>1157</v>
      </c>
      <c r="J89" s="508"/>
      <c r="K89" s="1427"/>
      <c r="L89" s="152"/>
      <c r="M89" s="2161"/>
      <c r="N89" s="272"/>
      <c r="O89" s="1551"/>
      <c r="P89" s="1551"/>
      <c r="AH89" s="1558">
        <v>0</v>
      </c>
    </row>
    <row r="90" spans="1:34" s="1562" customFormat="1" ht="0.75" hidden="1" customHeight="1">
      <c r="A90" s="1706"/>
      <c r="B90" s="1706"/>
      <c r="C90" s="306" t="s">
        <v>1168</v>
      </c>
      <c r="D90" s="2418"/>
      <c r="E90" s="2207"/>
      <c r="F90" s="2356"/>
      <c r="G90" s="337"/>
      <c r="H90" s="1427"/>
      <c r="I90" s="588"/>
      <c r="J90" s="508"/>
      <c r="K90" s="1427"/>
      <c r="L90" s="152"/>
      <c r="M90" s="2161"/>
      <c r="N90" s="272"/>
      <c r="O90" s="1551"/>
      <c r="P90" s="1551"/>
      <c r="AH90" s="1558">
        <v>0</v>
      </c>
    </row>
    <row r="91" spans="1:34" s="1562" customFormat="1" ht="81.599999999999994" customHeight="1">
      <c r="A91" s="1706" t="s">
        <v>164</v>
      </c>
      <c r="B91" s="1706" t="s">
        <v>165</v>
      </c>
      <c r="C91" s="306"/>
      <c r="D91" s="2418"/>
      <c r="E91" s="2207"/>
      <c r="F91" s="2356" t="str">
        <f>INDEX(PT_DIFFERENTIATION_VTAR,MATCH(A91,PT_DIFFERENTIATION_VTAR_ID,0))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1" s="2393" t="str">
        <f>INDEX(PT_DIFFERENTIATION_NTAR,MATCH(B91,PT_DIFFERENTIATION_NTAR_ID,0))</f>
        <v>Тариф на тепловую энергию (мощность) для потребителей на территории Засечного сельсовета Пензенского района Пензенской области</v>
      </c>
      <c r="H91" s="1787"/>
      <c r="I91" s="1665">
        <v>46023</v>
      </c>
      <c r="J91" s="1699">
        <v>46203</v>
      </c>
      <c r="K91" s="1704">
        <v>142277.78520000001</v>
      </c>
      <c r="L91" s="1787" t="s">
        <v>312</v>
      </c>
      <c r="M91" s="2162"/>
      <c r="N91" s="272"/>
      <c r="O91" s="1551"/>
      <c r="P91" s="1551"/>
      <c r="AH91" s="1558">
        <v>0</v>
      </c>
    </row>
    <row r="92" spans="1:34" s="1562" customFormat="1" ht="56.25" customHeight="1">
      <c r="A92" s="1748"/>
      <c r="B92" s="1748"/>
      <c r="C92" s="1614"/>
      <c r="D92" s="2419"/>
      <c r="E92" s="2420"/>
      <c r="F92" s="2420"/>
      <c r="G92" s="2420"/>
      <c r="H92" s="2014" t="s">
        <v>451</v>
      </c>
      <c r="I92" s="1665">
        <v>46204</v>
      </c>
      <c r="J92" s="1699">
        <v>46387</v>
      </c>
      <c r="K92" s="1704">
        <v>107038.4428</v>
      </c>
      <c r="L92" s="2005" t="s">
        <v>312</v>
      </c>
      <c r="M92" s="2008"/>
      <c r="N92" s="555"/>
      <c r="O92" s="1551"/>
      <c r="P92" s="1551"/>
      <c r="AH92" s="1562">
        <v>0</v>
      </c>
    </row>
    <row r="93" spans="1:34" s="1562" customFormat="1" ht="18.75" customHeight="1">
      <c r="A93" s="1706"/>
      <c r="B93" s="1706"/>
      <c r="C93" s="306" t="s">
        <v>1158</v>
      </c>
      <c r="D93" s="2418"/>
      <c r="E93" s="2207"/>
      <c r="F93" s="2356"/>
      <c r="G93" s="2393"/>
      <c r="H93" s="1427"/>
      <c r="I93" s="588" t="s">
        <v>1157</v>
      </c>
      <c r="J93" s="508"/>
      <c r="K93" s="1427"/>
      <c r="L93" s="152"/>
      <c r="M93" s="1786"/>
      <c r="N93" s="272"/>
      <c r="O93" s="1551"/>
      <c r="P93" s="1551"/>
      <c r="AH93" s="1558">
        <v>0</v>
      </c>
    </row>
    <row r="94" spans="1:34" s="1562" customFormat="1" ht="0.75" customHeight="1">
      <c r="A94" s="1706"/>
      <c r="B94" s="1706"/>
      <c r="C94" s="306" t="s">
        <v>1168</v>
      </c>
      <c r="D94" s="2418"/>
      <c r="E94" s="2207"/>
      <c r="F94" s="2356"/>
      <c r="G94" s="337"/>
      <c r="H94" s="1427"/>
      <c r="I94" s="588"/>
      <c r="J94" s="508"/>
      <c r="K94" s="1427"/>
      <c r="L94" s="152"/>
      <c r="M94" s="279"/>
      <c r="N94" s="272"/>
      <c r="O94" s="1551"/>
      <c r="P94" s="1551"/>
      <c r="AH94" s="1558">
        <v>0</v>
      </c>
    </row>
    <row r="95" spans="1:34" s="1562" customFormat="1" ht="45" hidden="1" customHeight="1">
      <c r="A95" s="1706" t="s">
        <v>174</v>
      </c>
      <c r="B95" s="1706" t="s">
        <v>175</v>
      </c>
      <c r="C95" s="306"/>
      <c r="D95" s="2418"/>
      <c r="E95" s="2207"/>
      <c r="F95" s="2356"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393" t="str">
        <f>INDEX(PT_DIFFERENTIATION_NTAR,MATCH(B95,PT_DIFFERENTIATION_NTAR_ID,0))</f>
        <v/>
      </c>
      <c r="H95" s="1787"/>
      <c r="I95" s="1665"/>
      <c r="J95" s="1699"/>
      <c r="K95" s="1704"/>
      <c r="L95" s="1787" t="s">
        <v>312</v>
      </c>
      <c r="M95" s="279"/>
      <c r="N95" s="272"/>
      <c r="O95" s="1551"/>
      <c r="P95" s="1551"/>
      <c r="AH95" s="1558">
        <v>0</v>
      </c>
    </row>
    <row r="96" spans="1:34" s="1562" customFormat="1" ht="18.75" hidden="1" customHeight="1">
      <c r="A96" s="1706"/>
      <c r="B96" s="1706"/>
      <c r="C96" s="306" t="s">
        <v>1158</v>
      </c>
      <c r="D96" s="2418"/>
      <c r="E96" s="2207"/>
      <c r="F96" s="2356"/>
      <c r="G96" s="2393"/>
      <c r="H96" s="1427"/>
      <c r="I96" s="588" t="s">
        <v>1157</v>
      </c>
      <c r="J96" s="508"/>
      <c r="K96" s="1427"/>
      <c r="L96" s="152"/>
      <c r="M96" s="279"/>
      <c r="N96" s="272"/>
      <c r="O96" s="1551"/>
      <c r="P96" s="1551"/>
      <c r="AH96" s="1558">
        <v>0</v>
      </c>
    </row>
    <row r="97" spans="1:34" s="1562" customFormat="1" ht="0.75" hidden="1" customHeight="1">
      <c r="A97" s="1706"/>
      <c r="B97" s="1706"/>
      <c r="C97" s="306" t="s">
        <v>1168</v>
      </c>
      <c r="D97" s="2418"/>
      <c r="E97" s="2207"/>
      <c r="F97" s="2356"/>
      <c r="G97" s="337"/>
      <c r="H97" s="1427"/>
      <c r="I97" s="588"/>
      <c r="J97" s="508"/>
      <c r="K97" s="1427"/>
      <c r="L97" s="152"/>
      <c r="M97" s="279"/>
      <c r="N97" s="272"/>
      <c r="O97" s="1551"/>
      <c r="P97" s="1551"/>
      <c r="AH97" s="1558">
        <v>0</v>
      </c>
    </row>
    <row r="98" spans="1:34" s="1562" customFormat="1" ht="45" hidden="1" customHeight="1">
      <c r="A98" s="1706" t="s">
        <v>180</v>
      </c>
      <c r="B98" s="1706" t="s">
        <v>181</v>
      </c>
      <c r="C98" s="306"/>
      <c r="D98" s="2418"/>
      <c r="E98" s="2207"/>
      <c r="F98" s="2356"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393" t="str">
        <f>INDEX(PT_DIFFERENTIATION_NTAR,MATCH(B98,PT_DIFFERENTIATION_NTAR_ID,0))</f>
        <v/>
      </c>
      <c r="H98" s="1787"/>
      <c r="I98" s="1665"/>
      <c r="J98" s="1699"/>
      <c r="K98" s="1704"/>
      <c r="L98" s="1787" t="s">
        <v>312</v>
      </c>
      <c r="M98" s="279"/>
      <c r="N98" s="272"/>
      <c r="O98" s="1551"/>
      <c r="P98" s="1551"/>
      <c r="AH98" s="1558">
        <v>0</v>
      </c>
    </row>
    <row r="99" spans="1:34" s="1562" customFormat="1" ht="18.75" hidden="1" customHeight="1">
      <c r="A99" s="1706"/>
      <c r="B99" s="1706"/>
      <c r="C99" s="306" t="s">
        <v>1158</v>
      </c>
      <c r="D99" s="2418"/>
      <c r="E99" s="2207"/>
      <c r="F99" s="2356"/>
      <c r="G99" s="2393"/>
      <c r="H99" s="1427"/>
      <c r="I99" s="588" t="s">
        <v>1157</v>
      </c>
      <c r="J99" s="508"/>
      <c r="K99" s="1427"/>
      <c r="L99" s="152"/>
      <c r="M99" s="279"/>
      <c r="N99" s="272"/>
      <c r="O99" s="1551"/>
      <c r="P99" s="1551"/>
      <c r="AH99" s="1558">
        <v>0</v>
      </c>
    </row>
    <row r="100" spans="1:34" s="1562" customFormat="1" ht="0.75" hidden="1" customHeight="1">
      <c r="A100" s="1706"/>
      <c r="B100" s="1706"/>
      <c r="C100" s="306" t="s">
        <v>1168</v>
      </c>
      <c r="D100" s="2418"/>
      <c r="E100" s="2207"/>
      <c r="F100" s="2356"/>
      <c r="G100" s="337"/>
      <c r="H100" s="1427"/>
      <c r="I100" s="588"/>
      <c r="J100" s="508"/>
      <c r="K100" s="1427"/>
      <c r="L100" s="152"/>
      <c r="M100" s="279"/>
      <c r="N100" s="272"/>
      <c r="O100" s="1551"/>
      <c r="P100" s="1551"/>
      <c r="AH100" s="1558">
        <v>0</v>
      </c>
    </row>
    <row r="101" spans="1:34" s="1562" customFormat="1" ht="18.75" hidden="1" customHeight="1">
      <c r="A101" s="1706" t="s">
        <v>186</v>
      </c>
      <c r="B101" s="1706" t="s">
        <v>187</v>
      </c>
      <c r="C101" s="306"/>
      <c r="D101" s="2418"/>
      <c r="E101" s="2207"/>
      <c r="F101" s="2356" t="str">
        <f>INDEX(PT_DIFFERENTIATION_VTAR,MATCH(A101,PT_DIFFERENTIATION_VTAR_ID,0))</f>
        <v>Тарифы на услуги по передаче тепловой энергии</v>
      </c>
      <c r="G101" s="2393" t="str">
        <f>INDEX(PT_DIFFERENTIATION_NTAR,MATCH(B101,PT_DIFFERENTIATION_NTAR_ID,0))</f>
        <v/>
      </c>
      <c r="H101" s="1787"/>
      <c r="I101" s="1665"/>
      <c r="J101" s="1699"/>
      <c r="K101" s="1704"/>
      <c r="L101" s="1787" t="s">
        <v>312</v>
      </c>
      <c r="M101" s="279"/>
      <c r="N101" s="272"/>
      <c r="O101" s="1551"/>
      <c r="P101" s="1551"/>
      <c r="AH101" s="1558">
        <v>0</v>
      </c>
    </row>
    <row r="102" spans="1:34" s="1562" customFormat="1" ht="18.75" hidden="1" customHeight="1">
      <c r="A102" s="1706"/>
      <c r="B102" s="1706"/>
      <c r="C102" s="306" t="s">
        <v>1158</v>
      </c>
      <c r="D102" s="2418"/>
      <c r="E102" s="2207"/>
      <c r="F102" s="2356"/>
      <c r="G102" s="2393"/>
      <c r="H102" s="1427"/>
      <c r="I102" s="588" t="s">
        <v>1157</v>
      </c>
      <c r="J102" s="508"/>
      <c r="K102" s="1427"/>
      <c r="L102" s="152"/>
      <c r="M102" s="279"/>
      <c r="N102" s="272"/>
      <c r="O102" s="1551"/>
      <c r="P102" s="1551"/>
      <c r="AH102" s="1558">
        <v>0</v>
      </c>
    </row>
    <row r="103" spans="1:34" s="1562" customFormat="1" ht="0.75" hidden="1" customHeight="1">
      <c r="A103" s="1706"/>
      <c r="B103" s="1706"/>
      <c r="C103" s="306" t="s">
        <v>1168</v>
      </c>
      <c r="D103" s="2418"/>
      <c r="E103" s="2207"/>
      <c r="F103" s="2356"/>
      <c r="G103" s="337"/>
      <c r="H103" s="1427"/>
      <c r="I103" s="588"/>
      <c r="J103" s="508"/>
      <c r="K103" s="1427"/>
      <c r="L103" s="152"/>
      <c r="M103" s="279"/>
      <c r="N103" s="272"/>
      <c r="O103" s="1551"/>
      <c r="P103" s="1551"/>
      <c r="AH103" s="1558">
        <v>0</v>
      </c>
    </row>
    <row r="104" spans="1:34" s="1562" customFormat="1" ht="18.75" hidden="1" customHeight="1">
      <c r="A104" s="1706" t="s">
        <v>192</v>
      </c>
      <c r="B104" s="1706" t="s">
        <v>193</v>
      </c>
      <c r="C104" s="306"/>
      <c r="D104" s="2418"/>
      <c r="E104" s="2207"/>
      <c r="F104" s="2356" t="str">
        <f>INDEX(PT_DIFFERENTIATION_VTAR,MATCH(A104,PT_DIFFERENTIATION_VTAR_ID,0))</f>
        <v>Тарифы на услуги по передаче теплоносителя</v>
      </c>
      <c r="G104" s="2393" t="str">
        <f>INDEX(PT_DIFFERENTIATION_NTAR,MATCH(B104,PT_DIFFERENTIATION_NTAR_ID,0))</f>
        <v/>
      </c>
      <c r="H104" s="1787"/>
      <c r="I104" s="1665"/>
      <c r="J104" s="1699"/>
      <c r="K104" s="1704"/>
      <c r="L104" s="1787" t="s">
        <v>312</v>
      </c>
      <c r="M104" s="279"/>
      <c r="N104" s="272"/>
      <c r="O104" s="1551"/>
      <c r="P104" s="1551"/>
      <c r="AH104" s="1558">
        <v>0</v>
      </c>
    </row>
    <row r="105" spans="1:34" s="1562" customFormat="1" ht="18.75" hidden="1" customHeight="1">
      <c r="A105" s="1706"/>
      <c r="B105" s="1706"/>
      <c r="C105" s="306" t="s">
        <v>1158</v>
      </c>
      <c r="D105" s="2418"/>
      <c r="E105" s="2207"/>
      <c r="F105" s="2356"/>
      <c r="G105" s="2393"/>
      <c r="H105" s="1427"/>
      <c r="I105" s="588" t="s">
        <v>1157</v>
      </c>
      <c r="J105" s="508"/>
      <c r="K105" s="1427"/>
      <c r="L105" s="152"/>
      <c r="M105" s="279"/>
      <c r="N105" s="272"/>
      <c r="O105" s="1551"/>
      <c r="P105" s="1551"/>
      <c r="AH105" s="1558">
        <v>0</v>
      </c>
    </row>
    <row r="106" spans="1:34" s="1562" customFormat="1" ht="0.75" hidden="1" customHeight="1">
      <c r="A106" s="1706"/>
      <c r="B106" s="1706"/>
      <c r="C106" s="306" t="s">
        <v>1168</v>
      </c>
      <c r="D106" s="2418"/>
      <c r="E106" s="2207"/>
      <c r="F106" s="2356"/>
      <c r="G106" s="337"/>
      <c r="H106" s="1427"/>
      <c r="I106" s="588"/>
      <c r="J106" s="508"/>
      <c r="K106" s="1427"/>
      <c r="L106" s="152"/>
      <c r="M106" s="279"/>
      <c r="N106" s="272"/>
      <c r="O106" s="1551"/>
      <c r="P106" s="1551"/>
      <c r="AH106" s="1558">
        <v>0</v>
      </c>
    </row>
    <row r="107" spans="1:34" s="1562" customFormat="1" ht="18.75" hidden="1" customHeight="1">
      <c r="A107" s="1706" t="s">
        <v>198</v>
      </c>
      <c r="B107" s="1706" t="s">
        <v>199</v>
      </c>
      <c r="C107" s="306"/>
      <c r="D107" s="2418"/>
      <c r="E107" s="2207"/>
      <c r="F107" s="2356"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393" t="str">
        <f>INDEX(PT_DIFFERENTIATION_NTAR,MATCH(B107,PT_DIFFERENTIATION_NTAR_ID,0))</f>
        <v/>
      </c>
      <c r="H107" s="1787"/>
      <c r="I107" s="1665"/>
      <c r="J107" s="1699"/>
      <c r="K107" s="1704"/>
      <c r="L107" s="1787" t="s">
        <v>312</v>
      </c>
      <c r="M107" s="279"/>
      <c r="N107" s="272"/>
      <c r="O107" s="1551"/>
      <c r="P107" s="1551"/>
      <c r="AH107" s="1558">
        <v>0</v>
      </c>
    </row>
    <row r="108" spans="1:34" s="1562" customFormat="1" ht="18.75" hidden="1" customHeight="1">
      <c r="A108" s="1706"/>
      <c r="B108" s="1706"/>
      <c r="C108" s="306" t="s">
        <v>1158</v>
      </c>
      <c r="D108" s="2418"/>
      <c r="E108" s="2207"/>
      <c r="F108" s="2356"/>
      <c r="G108" s="2393"/>
      <c r="H108" s="1427"/>
      <c r="I108" s="588" t="s">
        <v>1157</v>
      </c>
      <c r="J108" s="508"/>
      <c r="K108" s="1427"/>
      <c r="L108" s="152"/>
      <c r="M108" s="279"/>
      <c r="N108" s="272"/>
      <c r="O108" s="1551"/>
      <c r="P108" s="1551"/>
      <c r="AH108" s="1558">
        <v>0</v>
      </c>
    </row>
    <row r="109" spans="1:34" s="1562" customFormat="1" ht="0.75" hidden="1" customHeight="1">
      <c r="A109" s="1706"/>
      <c r="B109" s="1706"/>
      <c r="C109" s="306" t="s">
        <v>1168</v>
      </c>
      <c r="D109" s="2418"/>
      <c r="E109" s="2207"/>
      <c r="F109" s="2356"/>
      <c r="G109" s="337"/>
      <c r="H109" s="1427"/>
      <c r="I109" s="588"/>
      <c r="J109" s="508"/>
      <c r="K109" s="1427"/>
      <c r="L109" s="152"/>
      <c r="M109" s="279"/>
      <c r="N109" s="272"/>
      <c r="O109" s="1551"/>
      <c r="P109" s="1551"/>
      <c r="AH109" s="1558">
        <v>0</v>
      </c>
    </row>
    <row r="110" spans="1:34" s="1562" customFormat="1" ht="18.75" customHeight="1">
      <c r="A110" s="1706" t="s">
        <v>205</v>
      </c>
      <c r="B110" s="1706" t="s">
        <v>206</v>
      </c>
      <c r="C110" s="306"/>
      <c r="D110" s="2418"/>
      <c r="E110" s="2207"/>
      <c r="F110" s="2356" t="str">
        <f>INDEX(PT_DIFFERENTIATION_VTAR,MATCH(A110,PT_DIFFERENTIATION_VTAR_ID,0))</f>
        <v>Плата за подключение (технологическое присоединение) к системе теплоснабжения</v>
      </c>
      <c r="G110" s="2393" t="str">
        <f>INDEX(PT_DIFFERENTIATION_NTAR,MATCH(B110,PT_DIFFERENTIATION_NTAR_ID,0))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110" s="1787"/>
      <c r="I110" s="1665">
        <v>46023</v>
      </c>
      <c r="J110" s="1699">
        <v>46387</v>
      </c>
      <c r="K110" s="1704">
        <f>826.19+120.48+42586.18+42786.39</f>
        <v>86319.239999999991</v>
      </c>
      <c r="L110" s="1787" t="s">
        <v>312</v>
      </c>
      <c r="M110" s="279"/>
      <c r="N110" s="272"/>
      <c r="O110" s="1551"/>
      <c r="P110" s="1551"/>
      <c r="AH110" s="1558">
        <v>0</v>
      </c>
    </row>
    <row r="111" spans="1:34" s="1562" customFormat="1" ht="18.75" customHeight="1">
      <c r="A111" s="1706"/>
      <c r="B111" s="1706"/>
      <c r="C111" s="306" t="s">
        <v>1158</v>
      </c>
      <c r="D111" s="2418"/>
      <c r="E111" s="2207"/>
      <c r="F111" s="2356"/>
      <c r="G111" s="2393"/>
      <c r="H111" s="1427"/>
      <c r="I111" s="588" t="s">
        <v>1157</v>
      </c>
      <c r="J111" s="508"/>
      <c r="K111" s="1427"/>
      <c r="L111" s="152"/>
      <c r="M111" s="279"/>
      <c r="N111" s="272"/>
      <c r="O111" s="1551"/>
      <c r="P111" s="1551"/>
      <c r="AH111" s="1558">
        <v>0</v>
      </c>
    </row>
    <row r="112" spans="1:34" s="1562" customFormat="1" ht="0.75" customHeight="1">
      <c r="A112" s="1706"/>
      <c r="B112" s="1706"/>
      <c r="C112" s="306" t="s">
        <v>1168</v>
      </c>
      <c r="D112" s="2418"/>
      <c r="E112" s="2207"/>
      <c r="F112" s="2356"/>
      <c r="G112" s="337"/>
      <c r="H112" s="1427"/>
      <c r="I112" s="588"/>
      <c r="J112" s="508"/>
      <c r="K112" s="1427"/>
      <c r="L112" s="152"/>
      <c r="M112" s="279"/>
      <c r="N112" s="272"/>
      <c r="O112" s="1551"/>
      <c r="P112" s="1551"/>
      <c r="AH112" s="1558">
        <v>0</v>
      </c>
    </row>
    <row r="113" spans="1:34" s="1562" customFormat="1" ht="18.75" hidden="1" customHeight="1">
      <c r="A113" s="1706" t="s">
        <v>211</v>
      </c>
      <c r="B113" s="1706" t="s">
        <v>212</v>
      </c>
      <c r="C113" s="306"/>
      <c r="D113" s="2418"/>
      <c r="E113" s="2207"/>
      <c r="F113" s="2356" t="str">
        <f>INDEX(PT_DIFFERENTIATION_VTAR,MATCH(A113,PT_DIFFERENTIATION_VTAR_ID,0))</f>
        <v>Плата за подключение (технологическое присоединение) к системе теплоснабжения (индивидуальная)</v>
      </c>
      <c r="G113" s="2393" t="str">
        <f>INDEX(PT_DIFFERENTIATION_NTAR,MATCH(B113,PT_DIFFERENTIATION_NTAR_ID,0))</f>
        <v/>
      </c>
      <c r="H113" s="1911"/>
      <c r="I113" s="1665"/>
      <c r="J113" s="1699"/>
      <c r="K113" s="1704"/>
      <c r="L113" s="1911" t="s">
        <v>312</v>
      </c>
      <c r="M113" s="279"/>
      <c r="N113" s="272"/>
      <c r="O113" s="1551"/>
      <c r="P113" s="1551"/>
      <c r="AH113" s="1558">
        <v>0</v>
      </c>
    </row>
    <row r="114" spans="1:34" s="1562" customFormat="1" ht="18.75" hidden="1" customHeight="1">
      <c r="A114" s="1706"/>
      <c r="B114" s="1706"/>
      <c r="C114" s="306" t="s">
        <v>1158</v>
      </c>
      <c r="D114" s="2418"/>
      <c r="E114" s="2207"/>
      <c r="F114" s="2356"/>
      <c r="G114" s="2393"/>
      <c r="H114" s="1427"/>
      <c r="I114" s="588" t="s">
        <v>1157</v>
      </c>
      <c r="J114" s="508"/>
      <c r="K114" s="1427"/>
      <c r="L114" s="152"/>
      <c r="M114" s="279"/>
      <c r="N114" s="272"/>
      <c r="O114" s="1551"/>
      <c r="P114" s="1551"/>
      <c r="AH114" s="1558">
        <v>0</v>
      </c>
    </row>
    <row r="115" spans="1:34" s="1562" customFormat="1" ht="0.75" hidden="1" customHeight="1">
      <c r="A115" s="1706"/>
      <c r="B115" s="1706"/>
      <c r="C115" s="306" t="s">
        <v>1168</v>
      </c>
      <c r="D115" s="2418"/>
      <c r="E115" s="2207"/>
      <c r="F115" s="2356"/>
      <c r="G115" s="337"/>
      <c r="H115" s="1427"/>
      <c r="I115" s="588"/>
      <c r="J115" s="508"/>
      <c r="K115" s="1427"/>
      <c r="L115" s="152"/>
      <c r="M115" s="279"/>
      <c r="N115" s="272"/>
      <c r="O115" s="1551"/>
      <c r="P115" s="1551"/>
      <c r="AH115" s="1558">
        <v>0</v>
      </c>
    </row>
    <row r="116" spans="1:34" s="1562" customFormat="1" ht="18.75" hidden="1" customHeight="1">
      <c r="A116" s="1706" t="s">
        <v>231</v>
      </c>
      <c r="B116" s="1706" t="s">
        <v>232</v>
      </c>
      <c r="C116" s="306"/>
      <c r="D116" s="2418"/>
      <c r="E116" s="2207"/>
      <c r="F116" s="2356" t="str">
        <f>INDEX(PT_DIFFERENTIATION_VTAR,MATCH(A116,PT_DIFFERENTIATION_VTAR_ID,0))</f>
        <v>Тариф на питьевую воду (питьевое водоснабжение)</v>
      </c>
      <c r="G116" s="2393" t="str">
        <f>INDEX(PT_DIFFERENTIATION_NTAR,MATCH(B116,PT_DIFFERENTIATION_NTAR_ID,0))</f>
        <v/>
      </c>
      <c r="H116" s="1787"/>
      <c r="I116" s="1665"/>
      <c r="J116" s="1699"/>
      <c r="K116" s="1704"/>
      <c r="L116" s="1787" t="s">
        <v>312</v>
      </c>
      <c r="M116" s="279"/>
      <c r="N116" s="272"/>
      <c r="O116" s="1551"/>
      <c r="P116" s="1551"/>
      <c r="AH116" s="1558">
        <v>0</v>
      </c>
    </row>
    <row r="117" spans="1:34" s="1562" customFormat="1" ht="18.75" hidden="1" customHeight="1">
      <c r="A117" s="1706"/>
      <c r="B117" s="1706"/>
      <c r="C117" s="306" t="s">
        <v>1158</v>
      </c>
      <c r="D117" s="2418"/>
      <c r="E117" s="2207"/>
      <c r="F117" s="2356"/>
      <c r="G117" s="2393"/>
      <c r="H117" s="1427"/>
      <c r="I117" s="588" t="s">
        <v>1157</v>
      </c>
      <c r="J117" s="508"/>
      <c r="K117" s="1427"/>
      <c r="L117" s="152"/>
      <c r="M117" s="279"/>
      <c r="N117" s="272"/>
      <c r="O117" s="1551"/>
      <c r="P117" s="1551"/>
      <c r="AH117" s="1558">
        <v>0</v>
      </c>
    </row>
    <row r="118" spans="1:34" s="1562" customFormat="1" ht="0.75" hidden="1" customHeight="1">
      <c r="A118" s="1706"/>
      <c r="B118" s="1706"/>
      <c r="C118" s="306" t="s">
        <v>1168</v>
      </c>
      <c r="D118" s="2418"/>
      <c r="E118" s="2207"/>
      <c r="F118" s="2356"/>
      <c r="G118" s="337"/>
      <c r="H118" s="1427"/>
      <c r="I118" s="588"/>
      <c r="J118" s="508"/>
      <c r="K118" s="1427"/>
      <c r="L118" s="152"/>
      <c r="M118" s="279"/>
      <c r="N118" s="272"/>
      <c r="O118" s="1551"/>
      <c r="P118" s="1551"/>
      <c r="AH118" s="1558">
        <v>0</v>
      </c>
    </row>
    <row r="119" spans="1:34" s="1562" customFormat="1" ht="18.75" hidden="1" customHeight="1">
      <c r="A119" s="1706" t="s">
        <v>236</v>
      </c>
      <c r="B119" s="1706" t="s">
        <v>237</v>
      </c>
      <c r="C119" s="306"/>
      <c r="D119" s="2418"/>
      <c r="E119" s="2207"/>
      <c r="F119" s="2356" t="str">
        <f>INDEX(PT_DIFFERENTIATION_VTAR,MATCH(A119,PT_DIFFERENTIATION_VTAR_ID,0))</f>
        <v>Тариф на техническую воду</v>
      </c>
      <c r="G119" s="2393" t="str">
        <f>INDEX(PT_DIFFERENTIATION_NTAR,MATCH(B119,PT_DIFFERENTIATION_NTAR_ID,0))</f>
        <v/>
      </c>
      <c r="H119" s="1787"/>
      <c r="I119" s="1665"/>
      <c r="J119" s="1699"/>
      <c r="K119" s="1704"/>
      <c r="L119" s="1787" t="s">
        <v>312</v>
      </c>
      <c r="M119" s="279"/>
      <c r="N119" s="272"/>
      <c r="O119" s="1551"/>
      <c r="P119" s="1551"/>
      <c r="AH119" s="1558">
        <v>0</v>
      </c>
    </row>
    <row r="120" spans="1:34" s="1562" customFormat="1" ht="18.75" hidden="1" customHeight="1">
      <c r="A120" s="1706"/>
      <c r="B120" s="1706"/>
      <c r="C120" s="306" t="s">
        <v>1158</v>
      </c>
      <c r="D120" s="2418"/>
      <c r="E120" s="2207"/>
      <c r="F120" s="2356"/>
      <c r="G120" s="2393"/>
      <c r="H120" s="1427"/>
      <c r="I120" s="588" t="s">
        <v>1157</v>
      </c>
      <c r="J120" s="508"/>
      <c r="K120" s="1427"/>
      <c r="L120" s="152"/>
      <c r="M120" s="279"/>
      <c r="N120" s="272"/>
      <c r="O120" s="1551"/>
      <c r="P120" s="1551"/>
      <c r="AH120" s="1558">
        <v>0</v>
      </c>
    </row>
    <row r="121" spans="1:34" s="1562" customFormat="1" ht="0.75" hidden="1" customHeight="1">
      <c r="A121" s="1706"/>
      <c r="B121" s="1706"/>
      <c r="C121" s="306" t="s">
        <v>1168</v>
      </c>
      <c r="D121" s="2418"/>
      <c r="E121" s="2207"/>
      <c r="F121" s="2356"/>
      <c r="G121" s="337"/>
      <c r="H121" s="1427"/>
      <c r="I121" s="588"/>
      <c r="J121" s="508"/>
      <c r="K121" s="1427"/>
      <c r="L121" s="152"/>
      <c r="M121" s="279"/>
      <c r="N121" s="272"/>
      <c r="O121" s="1551"/>
      <c r="P121" s="1551"/>
      <c r="AH121" s="1558">
        <v>0</v>
      </c>
    </row>
    <row r="122" spans="1:34" s="1562" customFormat="1" ht="18.75" hidden="1" customHeight="1">
      <c r="A122" s="1706" t="s">
        <v>241</v>
      </c>
      <c r="B122" s="1706" t="s">
        <v>242</v>
      </c>
      <c r="C122" s="306"/>
      <c r="D122" s="2418"/>
      <c r="E122" s="2207"/>
      <c r="F122" s="2356" t="str">
        <f>INDEX(PT_DIFFERENTIATION_VTAR,MATCH(A122,PT_DIFFERENTIATION_VTAR_ID,0))</f>
        <v>Тариф на транспортировку воды</v>
      </c>
      <c r="G122" s="2393" t="str">
        <f>INDEX(PT_DIFFERENTIATION_NTAR,MATCH(B122,PT_DIFFERENTIATION_NTAR_ID,0))</f>
        <v/>
      </c>
      <c r="H122" s="1787"/>
      <c r="I122" s="1665"/>
      <c r="J122" s="1699"/>
      <c r="K122" s="1704"/>
      <c r="L122" s="1787" t="s">
        <v>312</v>
      </c>
      <c r="M122" s="279"/>
      <c r="N122" s="272"/>
      <c r="O122" s="1551"/>
      <c r="P122" s="1551"/>
      <c r="AH122" s="1558">
        <v>0</v>
      </c>
    </row>
    <row r="123" spans="1:34" s="1562" customFormat="1" ht="18.75" hidden="1" customHeight="1">
      <c r="A123" s="1706"/>
      <c r="B123" s="1706"/>
      <c r="C123" s="306" t="s">
        <v>1158</v>
      </c>
      <c r="D123" s="2418"/>
      <c r="E123" s="2207"/>
      <c r="F123" s="2356"/>
      <c r="G123" s="2393"/>
      <c r="H123" s="1427"/>
      <c r="I123" s="588" t="s">
        <v>1157</v>
      </c>
      <c r="J123" s="508"/>
      <c r="K123" s="1427"/>
      <c r="L123" s="152"/>
      <c r="M123" s="279"/>
      <c r="N123" s="272"/>
      <c r="O123" s="1551"/>
      <c r="P123" s="1551"/>
      <c r="AH123" s="1558">
        <v>0</v>
      </c>
    </row>
    <row r="124" spans="1:34" s="1562" customFormat="1" ht="0.75" hidden="1" customHeight="1">
      <c r="A124" s="1706"/>
      <c r="B124" s="1706"/>
      <c r="C124" s="306" t="s">
        <v>1168</v>
      </c>
      <c r="D124" s="2418"/>
      <c r="E124" s="2207"/>
      <c r="F124" s="2356"/>
      <c r="G124" s="337"/>
      <c r="H124" s="1427"/>
      <c r="I124" s="588"/>
      <c r="J124" s="508"/>
      <c r="K124" s="1427"/>
      <c r="L124" s="152"/>
      <c r="M124" s="279"/>
      <c r="N124" s="272"/>
      <c r="O124" s="1551"/>
      <c r="P124" s="1551"/>
      <c r="AH124" s="1558">
        <v>0</v>
      </c>
    </row>
    <row r="125" spans="1:34" s="1562" customFormat="1" ht="18.75" hidden="1" customHeight="1">
      <c r="A125" s="1706" t="s">
        <v>246</v>
      </c>
      <c r="B125" s="1706" t="s">
        <v>247</v>
      </c>
      <c r="C125" s="306"/>
      <c r="D125" s="2418"/>
      <c r="E125" s="2207"/>
      <c r="F125" s="2356" t="str">
        <f>INDEX(PT_DIFFERENTIATION_VTAR,MATCH(A125,PT_DIFFERENTIATION_VTAR_ID,0))</f>
        <v>Тариф на подвоз воды</v>
      </c>
      <c r="G125" s="2393" t="str">
        <f>INDEX(PT_DIFFERENTIATION_NTAR,MATCH(B125,PT_DIFFERENTIATION_NTAR_ID,0))</f>
        <v/>
      </c>
      <c r="H125" s="1787"/>
      <c r="I125" s="1665"/>
      <c r="J125" s="1699"/>
      <c r="K125" s="1704"/>
      <c r="L125" s="1787" t="s">
        <v>312</v>
      </c>
      <c r="M125" s="279"/>
      <c r="N125" s="272"/>
      <c r="O125" s="1551"/>
      <c r="P125" s="1551"/>
      <c r="AH125" s="1558">
        <v>0</v>
      </c>
    </row>
    <row r="126" spans="1:34" s="1562" customFormat="1" ht="18.75" hidden="1" customHeight="1">
      <c r="A126" s="1706"/>
      <c r="B126" s="1706"/>
      <c r="C126" s="306" t="s">
        <v>1158</v>
      </c>
      <c r="D126" s="2418"/>
      <c r="E126" s="2207"/>
      <c r="F126" s="2356"/>
      <c r="G126" s="2393"/>
      <c r="H126" s="1427"/>
      <c r="I126" s="588" t="s">
        <v>1157</v>
      </c>
      <c r="J126" s="508"/>
      <c r="K126" s="1427"/>
      <c r="L126" s="152"/>
      <c r="M126" s="279"/>
      <c r="N126" s="272"/>
      <c r="O126" s="1551"/>
      <c r="P126" s="1551"/>
      <c r="AH126" s="1558">
        <v>0</v>
      </c>
    </row>
    <row r="127" spans="1:34" s="1562" customFormat="1" ht="0.75" hidden="1" customHeight="1">
      <c r="A127" s="1706"/>
      <c r="B127" s="1706"/>
      <c r="C127" s="306" t="s">
        <v>1168</v>
      </c>
      <c r="D127" s="2418"/>
      <c r="E127" s="2207"/>
      <c r="F127" s="2356"/>
      <c r="G127" s="337"/>
      <c r="H127" s="1427"/>
      <c r="I127" s="588"/>
      <c r="J127" s="508"/>
      <c r="K127" s="1427"/>
      <c r="L127" s="152"/>
      <c r="M127" s="279"/>
      <c r="N127" s="272"/>
      <c r="O127" s="1551"/>
      <c r="P127" s="1551"/>
      <c r="AH127" s="1558">
        <v>0</v>
      </c>
    </row>
    <row r="128" spans="1:34" s="1562" customFormat="1" ht="18.75" hidden="1" customHeight="1">
      <c r="A128" s="1706" t="s">
        <v>251</v>
      </c>
      <c r="B128" s="1706" t="s">
        <v>252</v>
      </c>
      <c r="C128" s="306"/>
      <c r="D128" s="2418"/>
      <c r="E128" s="2207"/>
      <c r="F128" s="2356"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393" t="str">
        <f>INDEX(PT_DIFFERENTIATION_NTAR,MATCH(B128,PT_DIFFERENTIATION_NTAR_ID,0))</f>
        <v/>
      </c>
      <c r="H128" s="1787"/>
      <c r="I128" s="1665"/>
      <c r="J128" s="1699"/>
      <c r="K128" s="1704"/>
      <c r="L128" s="1787" t="s">
        <v>312</v>
      </c>
      <c r="M128" s="279"/>
      <c r="N128" s="272"/>
      <c r="O128" s="1551"/>
      <c r="P128" s="1551"/>
      <c r="AH128" s="1558">
        <v>0</v>
      </c>
    </row>
    <row r="129" spans="1:34" s="1562" customFormat="1" ht="18.75" hidden="1" customHeight="1">
      <c r="A129" s="1706"/>
      <c r="B129" s="1706"/>
      <c r="C129" s="306" t="s">
        <v>1158</v>
      </c>
      <c r="D129" s="2418"/>
      <c r="E129" s="2207"/>
      <c r="F129" s="2356"/>
      <c r="G129" s="2393"/>
      <c r="H129" s="1427"/>
      <c r="I129" s="588" t="s">
        <v>1157</v>
      </c>
      <c r="J129" s="508"/>
      <c r="K129" s="1427"/>
      <c r="L129" s="152"/>
      <c r="M129" s="279"/>
      <c r="N129" s="272"/>
      <c r="O129" s="1551"/>
      <c r="P129" s="1551"/>
      <c r="AH129" s="1558">
        <v>0</v>
      </c>
    </row>
    <row r="130" spans="1:34" s="1562" customFormat="1" ht="0.75" hidden="1" customHeight="1">
      <c r="A130" s="1706"/>
      <c r="B130" s="1706"/>
      <c r="C130" s="306" t="s">
        <v>1168</v>
      </c>
      <c r="D130" s="2418"/>
      <c r="E130" s="2207"/>
      <c r="F130" s="2356"/>
      <c r="G130" s="337"/>
      <c r="H130" s="1427"/>
      <c r="I130" s="588"/>
      <c r="J130" s="508"/>
      <c r="K130" s="1427"/>
      <c r="L130" s="152"/>
      <c r="M130" s="279"/>
      <c r="N130" s="272"/>
      <c r="O130" s="1551"/>
      <c r="P130" s="1551"/>
      <c r="AH130" s="1558">
        <v>0</v>
      </c>
    </row>
    <row r="131" spans="1:34" s="1562" customFormat="1" ht="18.75" hidden="1" customHeight="1">
      <c r="A131" s="1706" t="s">
        <v>256</v>
      </c>
      <c r="B131" s="1706" t="s">
        <v>257</v>
      </c>
      <c r="C131" s="306"/>
      <c r="D131" s="2418"/>
      <c r="E131" s="2207"/>
      <c r="F131" s="2356" t="str">
        <f>INDEX(PT_DIFFERENTIATION_VTAR,MATCH(A131,PT_DIFFERENTIATION_VTAR_ID,0))</f>
        <v>Тариф на горячую воду (горячее водоснабжение)</v>
      </c>
      <c r="G131" s="2393" t="str">
        <f>INDEX(PT_DIFFERENTIATION_NTAR,MATCH(B131,PT_DIFFERENTIATION_NTAR_ID,0))</f>
        <v/>
      </c>
      <c r="H131" s="1787"/>
      <c r="I131" s="1665"/>
      <c r="J131" s="1699"/>
      <c r="K131" s="1704"/>
      <c r="L131" s="1787" t="s">
        <v>312</v>
      </c>
      <c r="M131" s="279"/>
      <c r="N131" s="272"/>
      <c r="O131" s="1551"/>
      <c r="P131" s="1551"/>
      <c r="AH131" s="1558">
        <v>0</v>
      </c>
    </row>
    <row r="132" spans="1:34" s="1562" customFormat="1" ht="18.75" hidden="1" customHeight="1">
      <c r="A132" s="1706"/>
      <c r="B132" s="1706"/>
      <c r="C132" s="306" t="s">
        <v>1158</v>
      </c>
      <c r="D132" s="2418"/>
      <c r="E132" s="2207"/>
      <c r="F132" s="2356"/>
      <c r="G132" s="2393"/>
      <c r="H132" s="1427"/>
      <c r="I132" s="588" t="s">
        <v>1157</v>
      </c>
      <c r="J132" s="508"/>
      <c r="K132" s="1427"/>
      <c r="L132" s="152"/>
      <c r="M132" s="279"/>
      <c r="N132" s="272"/>
      <c r="O132" s="1551"/>
      <c r="P132" s="1551"/>
      <c r="AH132" s="1558">
        <v>0</v>
      </c>
    </row>
    <row r="133" spans="1:34" s="1562" customFormat="1" ht="0.75" hidden="1" customHeight="1">
      <c r="A133" s="1706"/>
      <c r="B133" s="1706"/>
      <c r="C133" s="306" t="s">
        <v>1168</v>
      </c>
      <c r="D133" s="2418"/>
      <c r="E133" s="2207"/>
      <c r="F133" s="2356"/>
      <c r="G133" s="337"/>
      <c r="H133" s="1427"/>
      <c r="I133" s="588"/>
      <c r="J133" s="508"/>
      <c r="K133" s="1427"/>
      <c r="L133" s="152"/>
      <c r="M133" s="279"/>
      <c r="N133" s="272"/>
      <c r="O133" s="1551"/>
      <c r="P133" s="1551"/>
      <c r="AH133" s="1558">
        <v>0</v>
      </c>
    </row>
    <row r="134" spans="1:34" s="1562" customFormat="1" ht="18.75" hidden="1" customHeight="1">
      <c r="A134" s="1706" t="s">
        <v>261</v>
      </c>
      <c r="B134" s="1706" t="s">
        <v>262</v>
      </c>
      <c r="C134" s="306"/>
      <c r="D134" s="2418"/>
      <c r="E134" s="2207"/>
      <c r="F134" s="2356" t="str">
        <f>INDEX(PT_DIFFERENTIATION_VTAR,MATCH(A134,PT_DIFFERENTIATION_VTAR_ID,0))</f>
        <v>Тариф на транспортировку горячей воды</v>
      </c>
      <c r="G134" s="2393" t="str">
        <f>INDEX(PT_DIFFERENTIATION_NTAR,MATCH(B134,PT_DIFFERENTIATION_NTAR_ID,0))</f>
        <v/>
      </c>
      <c r="H134" s="1787"/>
      <c r="I134" s="1665"/>
      <c r="J134" s="1699"/>
      <c r="K134" s="1704"/>
      <c r="L134" s="1787" t="s">
        <v>312</v>
      </c>
      <c r="M134" s="279"/>
      <c r="N134" s="272"/>
      <c r="O134" s="1551"/>
      <c r="P134" s="1551"/>
      <c r="AH134" s="1558">
        <v>0</v>
      </c>
    </row>
    <row r="135" spans="1:34" s="1562" customFormat="1" ht="18.75" hidden="1" customHeight="1">
      <c r="A135" s="1706"/>
      <c r="B135" s="1706"/>
      <c r="C135" s="306" t="s">
        <v>1158</v>
      </c>
      <c r="D135" s="2418"/>
      <c r="E135" s="2207"/>
      <c r="F135" s="2356"/>
      <c r="G135" s="2393"/>
      <c r="H135" s="1427"/>
      <c r="I135" s="588" t="s">
        <v>1157</v>
      </c>
      <c r="J135" s="508"/>
      <c r="K135" s="1427"/>
      <c r="L135" s="152"/>
      <c r="M135" s="279"/>
      <c r="N135" s="272"/>
      <c r="O135" s="1551"/>
      <c r="P135" s="1551"/>
      <c r="AH135" s="1558">
        <v>0</v>
      </c>
    </row>
    <row r="136" spans="1:34" s="1562" customFormat="1" ht="0.75" hidden="1" customHeight="1">
      <c r="A136" s="1706"/>
      <c r="B136" s="1706"/>
      <c r="C136" s="306" t="s">
        <v>1168</v>
      </c>
      <c r="D136" s="2418"/>
      <c r="E136" s="2207"/>
      <c r="F136" s="2356"/>
      <c r="G136" s="337"/>
      <c r="H136" s="1427"/>
      <c r="I136" s="588"/>
      <c r="J136" s="508"/>
      <c r="K136" s="1427"/>
      <c r="L136" s="152"/>
      <c r="M136" s="279"/>
      <c r="N136" s="272"/>
      <c r="O136" s="1551"/>
      <c r="P136" s="1551"/>
      <c r="AH136" s="1558">
        <v>0</v>
      </c>
    </row>
    <row r="137" spans="1:34" s="1562" customFormat="1" ht="18.75" hidden="1" customHeight="1">
      <c r="A137" s="1706" t="s">
        <v>266</v>
      </c>
      <c r="B137" s="1706" t="s">
        <v>267</v>
      </c>
      <c r="C137" s="306"/>
      <c r="D137" s="2418"/>
      <c r="E137" s="2207"/>
      <c r="F137" s="2356" t="str">
        <f>INDEX(PT_DIFFERENTIATION_VTAR,MATCH(A137,PT_DIFFERENTIATION_VTAR_ID,0))</f>
        <v>Тариф на подключение (технологическое присоединение) к централизованной системе горячего водоснабжения</v>
      </c>
      <c r="G137" s="2393" t="str">
        <f>INDEX(PT_DIFFERENTIATION_NTAR,MATCH(B137,PT_DIFFERENTIATION_NTAR_ID,0))</f>
        <v/>
      </c>
      <c r="H137" s="1787"/>
      <c r="I137" s="1665"/>
      <c r="J137" s="1699"/>
      <c r="K137" s="1704"/>
      <c r="L137" s="1787" t="s">
        <v>312</v>
      </c>
      <c r="M137" s="279"/>
      <c r="N137" s="272"/>
      <c r="O137" s="1551"/>
      <c r="P137" s="1551"/>
      <c r="AH137" s="1558">
        <v>0</v>
      </c>
    </row>
    <row r="138" spans="1:34" s="1562" customFormat="1" ht="18.75" hidden="1" customHeight="1">
      <c r="A138" s="1706"/>
      <c r="B138" s="1706"/>
      <c r="C138" s="306" t="s">
        <v>1158</v>
      </c>
      <c r="D138" s="2418"/>
      <c r="E138" s="2207"/>
      <c r="F138" s="2356"/>
      <c r="G138" s="2393"/>
      <c r="H138" s="1427"/>
      <c r="I138" s="588" t="s">
        <v>1157</v>
      </c>
      <c r="J138" s="508"/>
      <c r="K138" s="1427"/>
      <c r="L138" s="152"/>
      <c r="M138" s="279"/>
      <c r="N138" s="272"/>
      <c r="O138" s="1551"/>
      <c r="P138" s="1551"/>
      <c r="AH138" s="1558">
        <v>0</v>
      </c>
    </row>
    <row r="139" spans="1:34" s="1562" customFormat="1" ht="0.75" hidden="1" customHeight="1">
      <c r="A139" s="1706"/>
      <c r="B139" s="1706"/>
      <c r="C139" s="306" t="s">
        <v>1168</v>
      </c>
      <c r="D139" s="2418"/>
      <c r="E139" s="2207"/>
      <c r="F139" s="2356"/>
      <c r="G139" s="337"/>
      <c r="H139" s="1427"/>
      <c r="I139" s="588"/>
      <c r="J139" s="508"/>
      <c r="K139" s="1427"/>
      <c r="L139" s="152"/>
      <c r="M139" s="279"/>
      <c r="N139" s="272"/>
      <c r="O139" s="1551"/>
      <c r="P139" s="1551"/>
      <c r="AH139" s="1558">
        <v>0</v>
      </c>
    </row>
    <row r="140" spans="1:34" s="1562" customFormat="1" ht="18.75" hidden="1" customHeight="1">
      <c r="A140" s="1706" t="s">
        <v>271</v>
      </c>
      <c r="B140" s="1706" t="s">
        <v>272</v>
      </c>
      <c r="C140" s="306"/>
      <c r="D140" s="2418"/>
      <c r="E140" s="2207"/>
      <c r="F140" s="2356" t="str">
        <f>INDEX(PT_DIFFERENTIATION_VTAR,MATCH(A140,PT_DIFFERENTIATION_VTAR_ID,0))</f>
        <v>Тариф на водоотведение</v>
      </c>
      <c r="G140" s="2393" t="str">
        <f>INDEX(PT_DIFFERENTIATION_NTAR,MATCH(B140,PT_DIFFERENTIATION_NTAR_ID,0))</f>
        <v/>
      </c>
      <c r="H140" s="1787"/>
      <c r="I140" s="1665"/>
      <c r="J140" s="1699"/>
      <c r="K140" s="1704"/>
      <c r="L140" s="1787" t="s">
        <v>312</v>
      </c>
      <c r="M140" s="279"/>
      <c r="N140" s="272"/>
      <c r="O140" s="1551"/>
      <c r="P140" s="1551"/>
      <c r="AH140" s="1558">
        <v>0</v>
      </c>
    </row>
    <row r="141" spans="1:34" s="1562" customFormat="1" ht="18.75" hidden="1" customHeight="1">
      <c r="A141" s="1706"/>
      <c r="B141" s="1706"/>
      <c r="C141" s="306" t="s">
        <v>1158</v>
      </c>
      <c r="D141" s="2418"/>
      <c r="E141" s="2207"/>
      <c r="F141" s="2356"/>
      <c r="G141" s="2393"/>
      <c r="H141" s="1427"/>
      <c r="I141" s="588" t="s">
        <v>1157</v>
      </c>
      <c r="J141" s="508"/>
      <c r="K141" s="1427"/>
      <c r="L141" s="152"/>
      <c r="M141" s="279"/>
      <c r="N141" s="272"/>
      <c r="O141" s="1551"/>
      <c r="P141" s="1551"/>
      <c r="AH141" s="1558">
        <v>0</v>
      </c>
    </row>
    <row r="142" spans="1:34" s="1562" customFormat="1" ht="0.75" hidden="1" customHeight="1">
      <c r="A142" s="1706"/>
      <c r="B142" s="1706"/>
      <c r="C142" s="306" t="s">
        <v>1168</v>
      </c>
      <c r="D142" s="2418"/>
      <c r="E142" s="2207"/>
      <c r="F142" s="2356"/>
      <c r="G142" s="337"/>
      <c r="H142" s="1427"/>
      <c r="I142" s="588"/>
      <c r="J142" s="508"/>
      <c r="K142" s="1427"/>
      <c r="L142" s="152"/>
      <c r="M142" s="279"/>
      <c r="N142" s="272"/>
      <c r="O142" s="1551"/>
      <c r="P142" s="1551"/>
      <c r="AH142" s="1558">
        <v>0</v>
      </c>
    </row>
    <row r="143" spans="1:34" s="1562" customFormat="1" ht="18.75" hidden="1" customHeight="1">
      <c r="A143" s="1706" t="s">
        <v>276</v>
      </c>
      <c r="B143" s="1706" t="s">
        <v>277</v>
      </c>
      <c r="C143" s="306"/>
      <c r="D143" s="2418"/>
      <c r="E143" s="2207"/>
      <c r="F143" s="2356" t="str">
        <f>INDEX(PT_DIFFERENTIATION_VTAR,MATCH(A143,PT_DIFFERENTIATION_VTAR_ID,0))</f>
        <v>Тариф на транспортировку сточных вод</v>
      </c>
      <c r="G143" s="2393" t="str">
        <f>INDEX(PT_DIFFERENTIATION_NTAR,MATCH(B143,PT_DIFFERENTIATION_NTAR_ID,0))</f>
        <v/>
      </c>
      <c r="H143" s="1787"/>
      <c r="I143" s="1665"/>
      <c r="J143" s="1699"/>
      <c r="K143" s="1704"/>
      <c r="L143" s="1787" t="s">
        <v>312</v>
      </c>
      <c r="M143" s="279"/>
      <c r="N143" s="272"/>
      <c r="O143" s="1551"/>
      <c r="P143" s="1551"/>
      <c r="AH143" s="1558">
        <v>0</v>
      </c>
    </row>
    <row r="144" spans="1:34" s="1562" customFormat="1" ht="18.75" hidden="1" customHeight="1">
      <c r="A144" s="1706"/>
      <c r="B144" s="1706"/>
      <c r="C144" s="306" t="s">
        <v>1158</v>
      </c>
      <c r="D144" s="2418"/>
      <c r="E144" s="2207"/>
      <c r="F144" s="2356"/>
      <c r="G144" s="2393"/>
      <c r="H144" s="1427"/>
      <c r="I144" s="588" t="s">
        <v>1157</v>
      </c>
      <c r="J144" s="508"/>
      <c r="K144" s="1427"/>
      <c r="L144" s="152"/>
      <c r="M144" s="279"/>
      <c r="N144" s="272"/>
      <c r="O144" s="1551"/>
      <c r="P144" s="1551"/>
      <c r="AH144" s="1558">
        <v>0</v>
      </c>
    </row>
    <row r="145" spans="1:34" s="1562" customFormat="1" ht="0.75" hidden="1" customHeight="1">
      <c r="A145" s="1706"/>
      <c r="B145" s="1706"/>
      <c r="C145" s="306" t="s">
        <v>1168</v>
      </c>
      <c r="D145" s="2418"/>
      <c r="E145" s="2207"/>
      <c r="F145" s="2356"/>
      <c r="G145" s="337"/>
      <c r="H145" s="1427"/>
      <c r="I145" s="588"/>
      <c r="J145" s="508"/>
      <c r="K145" s="1427"/>
      <c r="L145" s="152"/>
      <c r="M145" s="279"/>
      <c r="N145" s="272"/>
      <c r="O145" s="1551"/>
      <c r="P145" s="1551"/>
      <c r="AH145" s="1558">
        <v>0</v>
      </c>
    </row>
    <row r="146" spans="1:34" s="1562" customFormat="1" ht="18.75" hidden="1" customHeight="1">
      <c r="A146" s="1706" t="s">
        <v>281</v>
      </c>
      <c r="B146" s="1706" t="s">
        <v>282</v>
      </c>
      <c r="C146" s="306"/>
      <c r="D146" s="2418"/>
      <c r="E146" s="2207"/>
      <c r="F146" s="2356" t="str">
        <f>INDEX(PT_DIFFERENTIATION_VTAR,MATCH(A146,PT_DIFFERENTIATION_VTAR_ID,0))</f>
        <v>Тариф на подключение (технологическое присоединение) к централизованной системе водоотведения</v>
      </c>
      <c r="G146" s="2393" t="str">
        <f>INDEX(PT_DIFFERENTIATION_NTAR,MATCH(B146,PT_DIFFERENTIATION_NTAR_ID,0))</f>
        <v/>
      </c>
      <c r="H146" s="1787"/>
      <c r="I146" s="1665"/>
      <c r="J146" s="1699"/>
      <c r="K146" s="1704"/>
      <c r="L146" s="1787" t="s">
        <v>312</v>
      </c>
      <c r="M146" s="279"/>
      <c r="N146" s="272"/>
      <c r="O146" s="1551"/>
      <c r="P146" s="1551"/>
      <c r="AH146" s="1558">
        <v>0</v>
      </c>
    </row>
    <row r="147" spans="1:34" s="1562" customFormat="1" ht="18.75" hidden="1" customHeight="1">
      <c r="A147" s="1706"/>
      <c r="B147" s="1706"/>
      <c r="C147" s="306" t="s">
        <v>1158</v>
      </c>
      <c r="D147" s="2418"/>
      <c r="E147" s="2207"/>
      <c r="F147" s="2356"/>
      <c r="G147" s="2393"/>
      <c r="H147" s="1427"/>
      <c r="I147" s="588" t="s">
        <v>1157</v>
      </c>
      <c r="J147" s="508"/>
      <c r="K147" s="1427"/>
      <c r="L147" s="152"/>
      <c r="M147" s="279"/>
      <c r="N147" s="272"/>
      <c r="O147" s="1551"/>
      <c r="P147" s="1551"/>
      <c r="AH147" s="1558">
        <v>0</v>
      </c>
    </row>
    <row r="148" spans="1:34" s="1562" customFormat="1" ht="1.1499999999999999" customHeight="1">
      <c r="A148" s="1706"/>
      <c r="B148" s="1706"/>
      <c r="C148" s="306" t="s">
        <v>1168</v>
      </c>
      <c r="D148" s="2418"/>
      <c r="E148" s="2207"/>
      <c r="F148" s="2356"/>
      <c r="G148" s="337"/>
      <c r="H148" s="1427"/>
      <c r="I148" s="588"/>
      <c r="J148" s="508"/>
      <c r="K148" s="1427"/>
      <c r="L148" s="152"/>
      <c r="M148" s="279"/>
      <c r="N148" s="272"/>
      <c r="O148" s="1551"/>
      <c r="P148" s="1551"/>
      <c r="AH148" s="1558">
        <v>1</v>
      </c>
    </row>
    <row r="149" spans="1:34" ht="19.899999999999999" customHeight="1">
      <c r="A149" s="1706"/>
      <c r="B149" s="1706"/>
      <c r="D149" s="313"/>
      <c r="E149" s="85" t="s">
        <v>91</v>
      </c>
      <c r="F149" s="241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9" s="2417"/>
      <c r="H149" s="2417"/>
      <c r="I149" s="2417"/>
      <c r="J149" s="2417"/>
      <c r="K149" s="2417"/>
      <c r="L149" s="2417"/>
      <c r="M149" s="235"/>
      <c r="N149" s="272"/>
      <c r="AH149" s="311">
        <v>19</v>
      </c>
    </row>
    <row r="150" spans="1:34" s="1562" customFormat="1" ht="60.75" hidden="1" customHeight="1">
      <c r="A150" s="1706" t="s">
        <v>156</v>
      </c>
      <c r="B150" s="1706" t="s">
        <v>157</v>
      </c>
      <c r="C150" s="306"/>
      <c r="D150" s="2418"/>
      <c r="E150" s="2207"/>
      <c r="F150" s="2356" t="str">
        <f>INDEX(PT_DIFFERENTIATION_VTAR,MATCH(A150,PT_DIFFERENTIATION_VTAR_ID,0))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0" s="2393" t="str">
        <f>INDEX(PT_DIFFERENTIATION_NTAR,MATCH(B150,PT_DIFFERENTIATION_NTAR_ID,0))</f>
        <v/>
      </c>
      <c r="H150" s="1787"/>
      <c r="I150" s="1665"/>
      <c r="J150" s="1699"/>
      <c r="K150" s="1704"/>
      <c r="L150" s="1787" t="s">
        <v>312</v>
      </c>
      <c r="M150"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0" s="272"/>
      <c r="O150" s="1551"/>
      <c r="P150" s="1551"/>
      <c r="AH150" s="1558">
        <v>0</v>
      </c>
    </row>
    <row r="151" spans="1:34" s="1562" customFormat="1" ht="18.75" hidden="1" customHeight="1">
      <c r="A151" s="1706"/>
      <c r="B151" s="1706"/>
      <c r="C151" s="306" t="s">
        <v>1158</v>
      </c>
      <c r="D151" s="2418"/>
      <c r="E151" s="2207"/>
      <c r="F151" s="2356"/>
      <c r="G151" s="2393"/>
      <c r="H151" s="1427"/>
      <c r="I151" s="588" t="s">
        <v>1157</v>
      </c>
      <c r="J151" s="508"/>
      <c r="K151" s="1427"/>
      <c r="L151" s="152"/>
      <c r="M151" s="2161"/>
      <c r="N151" s="272"/>
      <c r="O151" s="1551"/>
      <c r="P151" s="1551"/>
      <c r="AH151" s="1558">
        <v>0</v>
      </c>
    </row>
    <row r="152" spans="1:34" s="1562" customFormat="1" ht="0.75" hidden="1" customHeight="1">
      <c r="A152" s="1706"/>
      <c r="B152" s="1706"/>
      <c r="C152" s="306" t="s">
        <v>1168</v>
      </c>
      <c r="D152" s="2418"/>
      <c r="E152" s="2207"/>
      <c r="F152" s="2356"/>
      <c r="G152" s="337"/>
      <c r="H152" s="1427"/>
      <c r="I152" s="588"/>
      <c r="J152" s="508"/>
      <c r="K152" s="1427"/>
      <c r="L152" s="152"/>
      <c r="M152" s="2161"/>
      <c r="N152" s="272"/>
      <c r="O152" s="1551"/>
      <c r="P152" s="1551"/>
      <c r="AH152" s="1558">
        <v>0</v>
      </c>
    </row>
    <row r="153" spans="1:34" s="1562" customFormat="1" ht="89.1" customHeight="1">
      <c r="A153" s="1706" t="s">
        <v>164</v>
      </c>
      <c r="B153" s="1706" t="s">
        <v>165</v>
      </c>
      <c r="C153" s="306"/>
      <c r="D153" s="2418"/>
      <c r="E153" s="2207"/>
      <c r="F153" s="2356" t="str">
        <f>INDEX(PT_DIFFERENTIATION_VTAR,MATCH(A153,PT_DIFFERENTIATION_VTAR_ID,0))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3" s="2393" t="str">
        <f>INDEX(PT_DIFFERENTIATION_NTAR,MATCH(B153,PT_DIFFERENTIATION_NTAR_ID,0))</f>
        <v>Тариф на тепловую энергию (мощность) для потребителей на территории Засечного сельсовета Пензенского района Пензенской области</v>
      </c>
      <c r="H153" s="1787"/>
      <c r="I153" s="1665">
        <v>46023</v>
      </c>
      <c r="J153" s="1699">
        <v>46203</v>
      </c>
      <c r="K153" s="1704">
        <v>72.037559999999999</v>
      </c>
      <c r="L153" s="1787" t="s">
        <v>312</v>
      </c>
      <c r="M153" s="2162"/>
      <c r="N153" s="272"/>
      <c r="O153" s="1551"/>
      <c r="P153" s="1551"/>
      <c r="AH153" s="1558">
        <v>0</v>
      </c>
    </row>
    <row r="154" spans="1:34" s="1562" customFormat="1" ht="56.25" customHeight="1">
      <c r="A154" s="1748"/>
      <c r="B154" s="1748"/>
      <c r="C154" s="1614"/>
      <c r="D154" s="2419"/>
      <c r="E154" s="2420"/>
      <c r="F154" s="2420"/>
      <c r="G154" s="2420"/>
      <c r="H154" s="2014" t="s">
        <v>451</v>
      </c>
      <c r="I154" s="1665">
        <v>46204</v>
      </c>
      <c r="J154" s="1699">
        <v>46387</v>
      </c>
      <c r="K154" s="1704">
        <v>49.042259999999999</v>
      </c>
      <c r="L154" s="2005" t="s">
        <v>312</v>
      </c>
      <c r="M154" s="2008"/>
      <c r="N154" s="555"/>
      <c r="O154" s="1551"/>
      <c r="P154" s="1551"/>
      <c r="AH154" s="1562">
        <v>0</v>
      </c>
    </row>
    <row r="155" spans="1:34" s="1562" customFormat="1" ht="18.75" customHeight="1">
      <c r="A155" s="1706"/>
      <c r="B155" s="1706"/>
      <c r="C155" s="306" t="s">
        <v>1158</v>
      </c>
      <c r="D155" s="2418"/>
      <c r="E155" s="2207"/>
      <c r="F155" s="2356"/>
      <c r="G155" s="2393"/>
      <c r="H155" s="1427"/>
      <c r="I155" s="588" t="s">
        <v>1157</v>
      </c>
      <c r="J155" s="508"/>
      <c r="K155" s="1427"/>
      <c r="L155" s="152"/>
      <c r="M155" s="1786"/>
      <c r="N155" s="272"/>
      <c r="O155" s="1551"/>
      <c r="P155" s="1551"/>
      <c r="AH155" s="1558">
        <v>0</v>
      </c>
    </row>
    <row r="156" spans="1:34" s="1562" customFormat="1" ht="0.75" customHeight="1">
      <c r="A156" s="1706"/>
      <c r="B156" s="1706"/>
      <c r="C156" s="306" t="s">
        <v>1168</v>
      </c>
      <c r="D156" s="2418"/>
      <c r="E156" s="2207"/>
      <c r="F156" s="2356"/>
      <c r="G156" s="337"/>
      <c r="H156" s="1427"/>
      <c r="I156" s="588"/>
      <c r="J156" s="508"/>
      <c r="K156" s="1427"/>
      <c r="L156" s="152"/>
      <c r="M156" s="279"/>
      <c r="N156" s="272"/>
      <c r="O156" s="1551"/>
      <c r="P156" s="1551"/>
      <c r="AH156" s="1558">
        <v>0</v>
      </c>
    </row>
    <row r="157" spans="1:34" s="1562" customFormat="1" ht="45" hidden="1" customHeight="1">
      <c r="A157" s="1706" t="s">
        <v>174</v>
      </c>
      <c r="B157" s="1706" t="s">
        <v>175</v>
      </c>
      <c r="C157" s="306"/>
      <c r="D157" s="2418"/>
      <c r="E157" s="2207"/>
      <c r="F157" s="2356" t="str">
        <f>INDEX(PT_DIFFERENTIATION_VTAR,MATCH(A157,PT_DIFFERENTIATION_VTAR_ID,0))</f>
        <v>Тарифы на теплоноситель, поставляемый теплоснабжающими организациями потребителям, другим теплоснабжающим организациям</v>
      </c>
      <c r="G157" s="2393"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1158</v>
      </c>
      <c r="D158" s="2418"/>
      <c r="E158" s="2207"/>
      <c r="F158" s="2356"/>
      <c r="G158" s="2393"/>
      <c r="H158" s="1427"/>
      <c r="I158" s="588" t="s">
        <v>1157</v>
      </c>
      <c r="J158" s="508"/>
      <c r="K158" s="1427"/>
      <c r="L158" s="152"/>
      <c r="M158" s="279"/>
      <c r="N158" s="272"/>
      <c r="O158" s="1551"/>
      <c r="P158" s="1551"/>
      <c r="AH158" s="1558">
        <v>0</v>
      </c>
    </row>
    <row r="159" spans="1:34" s="1562" customFormat="1" ht="0.75" hidden="1" customHeight="1">
      <c r="A159" s="1706"/>
      <c r="B159" s="1706"/>
      <c r="C159" s="306" t="s">
        <v>1168</v>
      </c>
      <c r="D159" s="2418"/>
      <c r="E159" s="2207"/>
      <c r="F159" s="2356"/>
      <c r="G159" s="337"/>
      <c r="H159" s="1427"/>
      <c r="I159" s="588"/>
      <c r="J159" s="508"/>
      <c r="K159" s="1427"/>
      <c r="L159" s="152"/>
      <c r="M159" s="279"/>
      <c r="N159" s="272"/>
      <c r="O159" s="1551"/>
      <c r="P159" s="1551"/>
      <c r="AH159" s="1558">
        <v>0</v>
      </c>
    </row>
    <row r="160" spans="1:34" s="1562" customFormat="1" ht="45" hidden="1" customHeight="1">
      <c r="A160" s="1706" t="s">
        <v>180</v>
      </c>
      <c r="B160" s="1706" t="s">
        <v>181</v>
      </c>
      <c r="C160" s="306"/>
      <c r="D160" s="2418"/>
      <c r="E160" s="2207"/>
      <c r="F160" s="2356" t="str">
        <f>INDEX(PT_DIFFERENTIATION_VTAR,MATCH(A160,PT_DIFFERENTIATION_VTAR_ID,0))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0" s="2393"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1158</v>
      </c>
      <c r="D161" s="2418"/>
      <c r="E161" s="2207"/>
      <c r="F161" s="2356"/>
      <c r="G161" s="2393"/>
      <c r="H161" s="1427"/>
      <c r="I161" s="588" t="s">
        <v>1157</v>
      </c>
      <c r="J161" s="508"/>
      <c r="K161" s="1427"/>
      <c r="L161" s="152"/>
      <c r="M161" s="279"/>
      <c r="N161" s="272"/>
      <c r="O161" s="1551"/>
      <c r="P161" s="1551"/>
      <c r="AH161" s="1558">
        <v>0</v>
      </c>
    </row>
    <row r="162" spans="1:34" s="1562" customFormat="1" ht="0.75" hidden="1" customHeight="1">
      <c r="A162" s="1706"/>
      <c r="B162" s="1706"/>
      <c r="C162" s="306" t="s">
        <v>1168</v>
      </c>
      <c r="D162" s="2418"/>
      <c r="E162" s="2207"/>
      <c r="F162" s="2356"/>
      <c r="G162" s="337"/>
      <c r="H162" s="1427"/>
      <c r="I162" s="588"/>
      <c r="J162" s="508"/>
      <c r="K162" s="1427"/>
      <c r="L162" s="152"/>
      <c r="M162" s="279"/>
      <c r="N162" s="272"/>
      <c r="O162" s="1551"/>
      <c r="P162" s="1551"/>
      <c r="AH162" s="1558">
        <v>0</v>
      </c>
    </row>
    <row r="163" spans="1:34" s="1562" customFormat="1" ht="18.75" hidden="1" customHeight="1">
      <c r="A163" s="1706" t="s">
        <v>186</v>
      </c>
      <c r="B163" s="1706" t="s">
        <v>187</v>
      </c>
      <c r="C163" s="306"/>
      <c r="D163" s="2418"/>
      <c r="E163" s="2207"/>
      <c r="F163" s="2356" t="str">
        <f>INDEX(PT_DIFFERENTIATION_VTAR,MATCH(A163,PT_DIFFERENTIATION_VTAR_ID,0))</f>
        <v>Тарифы на услуги по передаче тепловой энергии</v>
      </c>
      <c r="G163" s="2393"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1158</v>
      </c>
      <c r="D164" s="2418"/>
      <c r="E164" s="2207"/>
      <c r="F164" s="2356"/>
      <c r="G164" s="2393"/>
      <c r="H164" s="1427"/>
      <c r="I164" s="588" t="s">
        <v>1157</v>
      </c>
      <c r="J164" s="508"/>
      <c r="K164" s="1427"/>
      <c r="L164" s="152"/>
      <c r="M164" s="279"/>
      <c r="N164" s="272"/>
      <c r="O164" s="1551"/>
      <c r="P164" s="1551"/>
      <c r="AH164" s="1558">
        <v>0</v>
      </c>
    </row>
    <row r="165" spans="1:34" s="1562" customFormat="1" ht="0.75" hidden="1" customHeight="1">
      <c r="A165" s="1706"/>
      <c r="B165" s="1706"/>
      <c r="C165" s="306" t="s">
        <v>1168</v>
      </c>
      <c r="D165" s="2418"/>
      <c r="E165" s="2207"/>
      <c r="F165" s="2356"/>
      <c r="G165" s="337"/>
      <c r="H165" s="1427"/>
      <c r="I165" s="588"/>
      <c r="J165" s="508"/>
      <c r="K165" s="1427"/>
      <c r="L165" s="152"/>
      <c r="M165" s="279"/>
      <c r="N165" s="272"/>
      <c r="O165" s="1551"/>
      <c r="P165" s="1551"/>
      <c r="AH165" s="1558">
        <v>0</v>
      </c>
    </row>
    <row r="166" spans="1:34" s="1562" customFormat="1" ht="18.75" hidden="1" customHeight="1">
      <c r="A166" s="1706" t="s">
        <v>192</v>
      </c>
      <c r="B166" s="1706" t="s">
        <v>193</v>
      </c>
      <c r="C166" s="306"/>
      <c r="D166" s="2418"/>
      <c r="E166" s="2207"/>
      <c r="F166" s="2356" t="str">
        <f>INDEX(PT_DIFFERENTIATION_VTAR,MATCH(A166,PT_DIFFERENTIATION_VTAR_ID,0))</f>
        <v>Тарифы на услуги по передаче теплоносителя</v>
      </c>
      <c r="G166" s="2393"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1158</v>
      </c>
      <c r="D167" s="2418"/>
      <c r="E167" s="2207"/>
      <c r="F167" s="2356"/>
      <c r="G167" s="2393"/>
      <c r="H167" s="1427"/>
      <c r="I167" s="588" t="s">
        <v>1157</v>
      </c>
      <c r="J167" s="508"/>
      <c r="K167" s="1427"/>
      <c r="L167" s="152"/>
      <c r="M167" s="279"/>
      <c r="N167" s="272"/>
      <c r="O167" s="1551"/>
      <c r="P167" s="1551"/>
      <c r="AH167" s="1558">
        <v>0</v>
      </c>
    </row>
    <row r="168" spans="1:34" s="1562" customFormat="1" ht="0.75" hidden="1" customHeight="1">
      <c r="A168" s="1706"/>
      <c r="B168" s="1706"/>
      <c r="C168" s="306" t="s">
        <v>1168</v>
      </c>
      <c r="D168" s="2418"/>
      <c r="E168" s="2207"/>
      <c r="F168" s="2356"/>
      <c r="G168" s="337"/>
      <c r="H168" s="1427"/>
      <c r="I168" s="588"/>
      <c r="J168" s="508"/>
      <c r="K168" s="1427"/>
      <c r="L168" s="152"/>
      <c r="M168" s="279"/>
      <c r="N168" s="272"/>
      <c r="O168" s="1551"/>
      <c r="P168" s="1551"/>
      <c r="AH168" s="1558">
        <v>0</v>
      </c>
    </row>
    <row r="169" spans="1:34" s="1562" customFormat="1" ht="18.75" hidden="1" customHeight="1">
      <c r="A169" s="1706" t="s">
        <v>198</v>
      </c>
      <c r="B169" s="1706" t="s">
        <v>199</v>
      </c>
      <c r="C169" s="306"/>
      <c r="D169" s="2418"/>
      <c r="E169" s="2207"/>
      <c r="F169" s="2356" t="str">
        <f>INDEX(PT_DIFFERENTIATION_VTAR,MATCH(A169,PT_DIFFERENTIATION_VTAR_ID,0))</f>
        <v>Плата за услуги по поддержанию резервной тепловой мощности при отсутствии потребления тепловой энергии</v>
      </c>
      <c r="G169" s="2393"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1158</v>
      </c>
      <c r="D170" s="2418"/>
      <c r="E170" s="2207"/>
      <c r="F170" s="2356"/>
      <c r="G170" s="2393"/>
      <c r="H170" s="1427"/>
      <c r="I170" s="588" t="s">
        <v>1157</v>
      </c>
      <c r="J170" s="508"/>
      <c r="K170" s="1427"/>
      <c r="L170" s="152"/>
      <c r="M170" s="279"/>
      <c r="N170" s="272"/>
      <c r="O170" s="1551"/>
      <c r="P170" s="1551"/>
      <c r="AH170" s="1558">
        <v>0</v>
      </c>
    </row>
    <row r="171" spans="1:34" s="1562" customFormat="1" ht="0.75" hidden="1" customHeight="1">
      <c r="A171" s="1706"/>
      <c r="B171" s="1706"/>
      <c r="C171" s="306" t="s">
        <v>1168</v>
      </c>
      <c r="D171" s="2418"/>
      <c r="E171" s="2207"/>
      <c r="F171" s="2356"/>
      <c r="G171" s="337"/>
      <c r="H171" s="1427"/>
      <c r="I171" s="588"/>
      <c r="J171" s="508"/>
      <c r="K171" s="1427"/>
      <c r="L171" s="152"/>
      <c r="M171" s="279"/>
      <c r="N171" s="272"/>
      <c r="O171" s="1551"/>
      <c r="P171" s="1551"/>
      <c r="AH171" s="1558">
        <v>0</v>
      </c>
    </row>
    <row r="172" spans="1:34" s="1562" customFormat="1" ht="18.75" customHeight="1">
      <c r="A172" s="1706" t="s">
        <v>205</v>
      </c>
      <c r="B172" s="1706" t="s">
        <v>206</v>
      </c>
      <c r="C172" s="306"/>
      <c r="D172" s="2418"/>
      <c r="E172" s="2207"/>
      <c r="F172" s="2356" t="str">
        <f>INDEX(PT_DIFFERENTIATION_VTAR,MATCH(A172,PT_DIFFERENTIATION_VTAR_ID,0))</f>
        <v>Плата за подключение (технологическое присоединение) к системе теплоснабжения</v>
      </c>
      <c r="G172" s="2393" t="str">
        <f>INDEX(PT_DIFFERENTIATION_NTAR,MATCH(B172,PT_DIFFERENTIATION_NTAR_ID,0))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172" s="1787"/>
      <c r="I172" s="1665">
        <v>46023</v>
      </c>
      <c r="J172" s="1699">
        <v>46387</v>
      </c>
      <c r="K172" s="1704">
        <v>4.1500000000000004</v>
      </c>
      <c r="L172" s="1787" t="s">
        <v>312</v>
      </c>
      <c r="M172" s="279"/>
      <c r="N172" s="272"/>
      <c r="O172" s="1551"/>
      <c r="P172" s="1551"/>
      <c r="AH172" s="1558">
        <v>0</v>
      </c>
    </row>
    <row r="173" spans="1:34" s="1562" customFormat="1" ht="18.75" customHeight="1">
      <c r="A173" s="1706"/>
      <c r="B173" s="1706"/>
      <c r="C173" s="306" t="s">
        <v>1158</v>
      </c>
      <c r="D173" s="2418"/>
      <c r="E173" s="2207"/>
      <c r="F173" s="2356"/>
      <c r="G173" s="2393"/>
      <c r="H173" s="1427"/>
      <c r="I173" s="588" t="s">
        <v>1157</v>
      </c>
      <c r="J173" s="508"/>
      <c r="K173" s="1427"/>
      <c r="L173" s="152"/>
      <c r="M173" s="279"/>
      <c r="N173" s="272"/>
      <c r="O173" s="1551"/>
      <c r="P173" s="1551"/>
      <c r="AH173" s="1558">
        <v>0</v>
      </c>
    </row>
    <row r="174" spans="1:34" s="1562" customFormat="1" ht="0.75" customHeight="1">
      <c r="A174" s="1706"/>
      <c r="B174" s="1706"/>
      <c r="C174" s="306" t="s">
        <v>1168</v>
      </c>
      <c r="D174" s="2418"/>
      <c r="E174" s="2207"/>
      <c r="F174" s="2356"/>
      <c r="G174" s="337"/>
      <c r="H174" s="1427"/>
      <c r="I174" s="588"/>
      <c r="J174" s="508"/>
      <c r="K174" s="1427"/>
      <c r="L174" s="152"/>
      <c r="M174" s="279"/>
      <c r="N174" s="272"/>
      <c r="O174" s="1551"/>
      <c r="P174" s="1551"/>
      <c r="AH174" s="1558">
        <v>0</v>
      </c>
    </row>
    <row r="175" spans="1:34" s="1562" customFormat="1" ht="18.75" hidden="1" customHeight="1">
      <c r="A175" s="1706" t="s">
        <v>211</v>
      </c>
      <c r="B175" s="1706" t="s">
        <v>212</v>
      </c>
      <c r="C175" s="306"/>
      <c r="D175" s="2418"/>
      <c r="E175" s="2207"/>
      <c r="F175" s="2356" t="str">
        <f>INDEX(PT_DIFFERENTIATION_VTAR,MATCH(A175,PT_DIFFERENTIATION_VTAR_ID,0))</f>
        <v>Плата за подключение (технологическое присоединение) к системе теплоснабжения (индивидуальная)</v>
      </c>
      <c r="G175" s="2393" t="str">
        <f>INDEX(PT_DIFFERENTIATION_NTAR,MATCH(B175,PT_DIFFERENTIATION_NTAR_ID,0))</f>
        <v/>
      </c>
      <c r="H175" s="1911"/>
      <c r="I175" s="1665"/>
      <c r="J175" s="1699"/>
      <c r="K175" s="1704"/>
      <c r="L175" s="1911" t="s">
        <v>312</v>
      </c>
      <c r="M175" s="279"/>
      <c r="N175" s="272"/>
      <c r="O175" s="1551"/>
      <c r="P175" s="1551"/>
      <c r="AH175" s="1558">
        <v>0</v>
      </c>
    </row>
    <row r="176" spans="1:34" s="1562" customFormat="1" ht="18.75" hidden="1" customHeight="1">
      <c r="A176" s="1706"/>
      <c r="B176" s="1706"/>
      <c r="C176" s="306" t="s">
        <v>1158</v>
      </c>
      <c r="D176" s="2418"/>
      <c r="E176" s="2207"/>
      <c r="F176" s="2356"/>
      <c r="G176" s="2393"/>
      <c r="H176" s="1427"/>
      <c r="I176" s="588" t="s">
        <v>1157</v>
      </c>
      <c r="J176" s="508"/>
      <c r="K176" s="1427"/>
      <c r="L176" s="152"/>
      <c r="M176" s="279"/>
      <c r="N176" s="272"/>
      <c r="O176" s="1551"/>
      <c r="P176" s="1551"/>
      <c r="AH176" s="1558">
        <v>0</v>
      </c>
    </row>
    <row r="177" spans="1:34" s="1562" customFormat="1" ht="0.75" hidden="1" customHeight="1">
      <c r="A177" s="1706"/>
      <c r="B177" s="1706"/>
      <c r="C177" s="306" t="s">
        <v>1168</v>
      </c>
      <c r="D177" s="2418"/>
      <c r="E177" s="2207"/>
      <c r="F177" s="2356"/>
      <c r="G177" s="337"/>
      <c r="H177" s="1427"/>
      <c r="I177" s="588"/>
      <c r="J177" s="508"/>
      <c r="K177" s="1427"/>
      <c r="L177" s="152"/>
      <c r="M177" s="279"/>
      <c r="N177" s="272"/>
      <c r="O177" s="1551"/>
      <c r="P177" s="1551"/>
      <c r="AH177" s="1558">
        <v>0</v>
      </c>
    </row>
    <row r="178" spans="1:34" s="1562" customFormat="1" ht="18.75" hidden="1" customHeight="1">
      <c r="A178" s="1706" t="s">
        <v>231</v>
      </c>
      <c r="B178" s="1706" t="s">
        <v>232</v>
      </c>
      <c r="C178" s="306"/>
      <c r="D178" s="2418"/>
      <c r="E178" s="2207"/>
      <c r="F178" s="2356" t="str">
        <f>INDEX(PT_DIFFERENTIATION_VTAR,MATCH(A178,PT_DIFFERENTIATION_VTAR_ID,0))</f>
        <v>Тариф на питьевую воду (питьевое водоснабжение)</v>
      </c>
      <c r="G178" s="2393"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1158</v>
      </c>
      <c r="D179" s="2418"/>
      <c r="E179" s="2207"/>
      <c r="F179" s="2356"/>
      <c r="G179" s="2393"/>
      <c r="H179" s="1427"/>
      <c r="I179" s="588" t="s">
        <v>1157</v>
      </c>
      <c r="J179" s="508"/>
      <c r="K179" s="1427"/>
      <c r="L179" s="152"/>
      <c r="M179" s="279"/>
      <c r="N179" s="272"/>
      <c r="O179" s="1551"/>
      <c r="P179" s="1551"/>
      <c r="AH179" s="1558">
        <v>0</v>
      </c>
    </row>
    <row r="180" spans="1:34" s="1562" customFormat="1" ht="0.75" hidden="1" customHeight="1">
      <c r="A180" s="1706"/>
      <c r="B180" s="1706"/>
      <c r="C180" s="306" t="s">
        <v>1168</v>
      </c>
      <c r="D180" s="2418"/>
      <c r="E180" s="2207"/>
      <c r="F180" s="2356"/>
      <c r="G180" s="337"/>
      <c r="H180" s="1427"/>
      <c r="I180" s="588"/>
      <c r="J180" s="508"/>
      <c r="K180" s="1427"/>
      <c r="L180" s="152"/>
      <c r="M180" s="279"/>
      <c r="N180" s="272"/>
      <c r="O180" s="1551"/>
      <c r="P180" s="1551"/>
      <c r="AH180" s="1558">
        <v>0</v>
      </c>
    </row>
    <row r="181" spans="1:34" s="1562" customFormat="1" ht="18.75" hidden="1" customHeight="1">
      <c r="A181" s="1706" t="s">
        <v>236</v>
      </c>
      <c r="B181" s="1706" t="s">
        <v>237</v>
      </c>
      <c r="C181" s="306"/>
      <c r="D181" s="2418"/>
      <c r="E181" s="2207"/>
      <c r="F181" s="2356" t="str">
        <f>INDEX(PT_DIFFERENTIATION_VTAR,MATCH(A181,PT_DIFFERENTIATION_VTAR_ID,0))</f>
        <v>Тариф на техническую воду</v>
      </c>
      <c r="G181" s="2393"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1158</v>
      </c>
      <c r="D182" s="2418"/>
      <c r="E182" s="2207"/>
      <c r="F182" s="2356"/>
      <c r="G182" s="2393"/>
      <c r="H182" s="1427"/>
      <c r="I182" s="588" t="s">
        <v>1157</v>
      </c>
      <c r="J182" s="508"/>
      <c r="K182" s="1427"/>
      <c r="L182" s="152"/>
      <c r="M182" s="279"/>
      <c r="N182" s="272"/>
      <c r="O182" s="1551"/>
      <c r="P182" s="1551"/>
      <c r="AH182" s="1558">
        <v>0</v>
      </c>
    </row>
    <row r="183" spans="1:34" s="1562" customFormat="1" ht="0.75" hidden="1" customHeight="1">
      <c r="A183" s="1706"/>
      <c r="B183" s="1706"/>
      <c r="C183" s="306" t="s">
        <v>1168</v>
      </c>
      <c r="D183" s="2418"/>
      <c r="E183" s="2207"/>
      <c r="F183" s="2356"/>
      <c r="G183" s="337"/>
      <c r="H183" s="1427"/>
      <c r="I183" s="588"/>
      <c r="J183" s="508"/>
      <c r="K183" s="1427"/>
      <c r="L183" s="152"/>
      <c r="M183" s="279"/>
      <c r="N183" s="272"/>
      <c r="O183" s="1551"/>
      <c r="P183" s="1551"/>
      <c r="AH183" s="1558">
        <v>0</v>
      </c>
    </row>
    <row r="184" spans="1:34" s="1562" customFormat="1" ht="18.75" hidden="1" customHeight="1">
      <c r="A184" s="1706" t="s">
        <v>241</v>
      </c>
      <c r="B184" s="1706" t="s">
        <v>242</v>
      </c>
      <c r="C184" s="306"/>
      <c r="D184" s="2418"/>
      <c r="E184" s="2207"/>
      <c r="F184" s="2356" t="str">
        <f>INDEX(PT_DIFFERENTIATION_VTAR,MATCH(A184,PT_DIFFERENTIATION_VTAR_ID,0))</f>
        <v>Тариф на транспортировку воды</v>
      </c>
      <c r="G184" s="2393"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1158</v>
      </c>
      <c r="D185" s="2418"/>
      <c r="E185" s="2207"/>
      <c r="F185" s="2356"/>
      <c r="G185" s="2393"/>
      <c r="H185" s="1427"/>
      <c r="I185" s="588" t="s">
        <v>1157</v>
      </c>
      <c r="J185" s="508"/>
      <c r="K185" s="1427"/>
      <c r="L185" s="152"/>
      <c r="M185" s="279"/>
      <c r="N185" s="272"/>
      <c r="O185" s="1551"/>
      <c r="P185" s="1551"/>
      <c r="AH185" s="1558">
        <v>0</v>
      </c>
    </row>
    <row r="186" spans="1:34" s="1562" customFormat="1" ht="0.75" hidden="1" customHeight="1">
      <c r="A186" s="1706"/>
      <c r="B186" s="1706"/>
      <c r="C186" s="306" t="s">
        <v>1168</v>
      </c>
      <c r="D186" s="2418"/>
      <c r="E186" s="2207"/>
      <c r="F186" s="2356"/>
      <c r="G186" s="337"/>
      <c r="H186" s="1427"/>
      <c r="I186" s="588"/>
      <c r="J186" s="508"/>
      <c r="K186" s="1427"/>
      <c r="L186" s="152"/>
      <c r="M186" s="279"/>
      <c r="N186" s="272"/>
      <c r="O186" s="1551"/>
      <c r="P186" s="1551"/>
      <c r="AH186" s="1558">
        <v>0</v>
      </c>
    </row>
    <row r="187" spans="1:34" s="1562" customFormat="1" ht="18.75" hidden="1" customHeight="1">
      <c r="A187" s="1706" t="s">
        <v>246</v>
      </c>
      <c r="B187" s="1706" t="s">
        <v>247</v>
      </c>
      <c r="C187" s="306"/>
      <c r="D187" s="2418"/>
      <c r="E187" s="2207"/>
      <c r="F187" s="2356" t="str">
        <f>INDEX(PT_DIFFERENTIATION_VTAR,MATCH(A187,PT_DIFFERENTIATION_VTAR_ID,0))</f>
        <v>Тариф на подвоз воды</v>
      </c>
      <c r="G187" s="2393"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1158</v>
      </c>
      <c r="D188" s="2418"/>
      <c r="E188" s="2207"/>
      <c r="F188" s="2356"/>
      <c r="G188" s="2393"/>
      <c r="H188" s="1427"/>
      <c r="I188" s="588" t="s">
        <v>1157</v>
      </c>
      <c r="J188" s="508"/>
      <c r="K188" s="1427"/>
      <c r="L188" s="152"/>
      <c r="M188" s="279"/>
      <c r="N188" s="272"/>
      <c r="O188" s="1551"/>
      <c r="P188" s="1551"/>
      <c r="AH188" s="1558">
        <v>0</v>
      </c>
    </row>
    <row r="189" spans="1:34" s="1562" customFormat="1" ht="0.75" hidden="1" customHeight="1">
      <c r="A189" s="1706"/>
      <c r="B189" s="1706"/>
      <c r="C189" s="306" t="s">
        <v>1168</v>
      </c>
      <c r="D189" s="2418"/>
      <c r="E189" s="2207"/>
      <c r="F189" s="2356"/>
      <c r="G189" s="337"/>
      <c r="H189" s="1427"/>
      <c r="I189" s="588"/>
      <c r="J189" s="508"/>
      <c r="K189" s="1427"/>
      <c r="L189" s="152"/>
      <c r="M189" s="279"/>
      <c r="N189" s="272"/>
      <c r="O189" s="1551"/>
      <c r="P189" s="1551"/>
      <c r="AH189" s="1558">
        <v>0</v>
      </c>
    </row>
    <row r="190" spans="1:34" s="1562" customFormat="1" ht="18.75" hidden="1" customHeight="1">
      <c r="A190" s="1706" t="s">
        <v>251</v>
      </c>
      <c r="B190" s="1706" t="s">
        <v>252</v>
      </c>
      <c r="C190" s="306"/>
      <c r="D190" s="2418"/>
      <c r="E190" s="2207"/>
      <c r="F190" s="2356" t="str">
        <f>INDEX(PT_DIFFERENTIATION_VTAR,MATCH(A190,PT_DIFFERENTIATION_VTAR_ID,0))</f>
        <v>Тариф на подключение (технологическое присоединение) к централизованной системе холодного водоснабжения</v>
      </c>
      <c r="G190" s="2393"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1158</v>
      </c>
      <c r="D191" s="2418"/>
      <c r="E191" s="2207"/>
      <c r="F191" s="2356"/>
      <c r="G191" s="2393"/>
      <c r="H191" s="1427"/>
      <c r="I191" s="588" t="s">
        <v>1157</v>
      </c>
      <c r="J191" s="508"/>
      <c r="K191" s="1427"/>
      <c r="L191" s="152"/>
      <c r="M191" s="279"/>
      <c r="N191" s="272"/>
      <c r="O191" s="1551"/>
      <c r="P191" s="1551"/>
      <c r="AH191" s="1558">
        <v>0</v>
      </c>
    </row>
    <row r="192" spans="1:34" s="1562" customFormat="1" ht="0.75" hidden="1" customHeight="1">
      <c r="A192" s="1706"/>
      <c r="B192" s="1706"/>
      <c r="C192" s="306" t="s">
        <v>1168</v>
      </c>
      <c r="D192" s="2418"/>
      <c r="E192" s="2207"/>
      <c r="F192" s="2356"/>
      <c r="G192" s="337"/>
      <c r="H192" s="1427"/>
      <c r="I192" s="588"/>
      <c r="J192" s="508"/>
      <c r="K192" s="1427"/>
      <c r="L192" s="152"/>
      <c r="M192" s="279"/>
      <c r="N192" s="272"/>
      <c r="O192" s="1551"/>
      <c r="P192" s="1551"/>
      <c r="AH192" s="1558">
        <v>0</v>
      </c>
    </row>
    <row r="193" spans="1:34" s="1562" customFormat="1" ht="18.75" hidden="1" customHeight="1">
      <c r="A193" s="1706" t="s">
        <v>256</v>
      </c>
      <c r="B193" s="1706" t="s">
        <v>257</v>
      </c>
      <c r="C193" s="306"/>
      <c r="D193" s="2418"/>
      <c r="E193" s="2207"/>
      <c r="F193" s="2356" t="str">
        <f>INDEX(PT_DIFFERENTIATION_VTAR,MATCH(A193,PT_DIFFERENTIATION_VTAR_ID,0))</f>
        <v>Тариф на горячую воду (горячее водоснабжение)</v>
      </c>
      <c r="G193" s="2393"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1158</v>
      </c>
      <c r="D194" s="2418"/>
      <c r="E194" s="2207"/>
      <c r="F194" s="2356"/>
      <c r="G194" s="2393"/>
      <c r="H194" s="1427"/>
      <c r="I194" s="588" t="s">
        <v>1157</v>
      </c>
      <c r="J194" s="508"/>
      <c r="K194" s="1427"/>
      <c r="L194" s="152"/>
      <c r="M194" s="279"/>
      <c r="N194" s="272"/>
      <c r="O194" s="1551"/>
      <c r="P194" s="1551"/>
      <c r="AH194" s="1558">
        <v>0</v>
      </c>
    </row>
    <row r="195" spans="1:34" s="1562" customFormat="1" ht="0.75" hidden="1" customHeight="1">
      <c r="A195" s="1706"/>
      <c r="B195" s="1706"/>
      <c r="C195" s="306" t="s">
        <v>1168</v>
      </c>
      <c r="D195" s="2418"/>
      <c r="E195" s="2207"/>
      <c r="F195" s="2356"/>
      <c r="G195" s="337"/>
      <c r="H195" s="1427"/>
      <c r="I195" s="588"/>
      <c r="J195" s="508"/>
      <c r="K195" s="1427"/>
      <c r="L195" s="152"/>
      <c r="M195" s="279"/>
      <c r="N195" s="272"/>
      <c r="O195" s="1551"/>
      <c r="P195" s="1551"/>
      <c r="AH195" s="1558">
        <v>0</v>
      </c>
    </row>
    <row r="196" spans="1:34" s="1562" customFormat="1" ht="18.75" hidden="1" customHeight="1">
      <c r="A196" s="1706" t="s">
        <v>261</v>
      </c>
      <c r="B196" s="1706" t="s">
        <v>262</v>
      </c>
      <c r="C196" s="306"/>
      <c r="D196" s="2418"/>
      <c r="E196" s="2207"/>
      <c r="F196" s="2356" t="str">
        <f>INDEX(PT_DIFFERENTIATION_VTAR,MATCH(A196,PT_DIFFERENTIATION_VTAR_ID,0))</f>
        <v>Тариф на транспортировку горячей воды</v>
      </c>
      <c r="G196" s="2393"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1158</v>
      </c>
      <c r="D197" s="2418"/>
      <c r="E197" s="2207"/>
      <c r="F197" s="2356"/>
      <c r="G197" s="2393"/>
      <c r="H197" s="1427"/>
      <c r="I197" s="588" t="s">
        <v>1157</v>
      </c>
      <c r="J197" s="508"/>
      <c r="K197" s="1427"/>
      <c r="L197" s="152"/>
      <c r="M197" s="279"/>
      <c r="N197" s="272"/>
      <c r="O197" s="1551"/>
      <c r="P197" s="1551"/>
      <c r="AH197" s="1558">
        <v>0</v>
      </c>
    </row>
    <row r="198" spans="1:34" s="1562" customFormat="1" ht="0.75" hidden="1" customHeight="1">
      <c r="A198" s="1706"/>
      <c r="B198" s="1706"/>
      <c r="C198" s="306" t="s">
        <v>1168</v>
      </c>
      <c r="D198" s="2418"/>
      <c r="E198" s="2207"/>
      <c r="F198" s="2356"/>
      <c r="G198" s="337"/>
      <c r="H198" s="1427"/>
      <c r="I198" s="588"/>
      <c r="J198" s="508"/>
      <c r="K198" s="1427"/>
      <c r="L198" s="152"/>
      <c r="M198" s="279"/>
      <c r="N198" s="272"/>
      <c r="O198" s="1551"/>
      <c r="P198" s="1551"/>
      <c r="AH198" s="1558">
        <v>0</v>
      </c>
    </row>
    <row r="199" spans="1:34" s="1562" customFormat="1" ht="18.75" hidden="1" customHeight="1">
      <c r="A199" s="1706" t="s">
        <v>266</v>
      </c>
      <c r="B199" s="1706" t="s">
        <v>267</v>
      </c>
      <c r="C199" s="306"/>
      <c r="D199" s="2418"/>
      <c r="E199" s="2207"/>
      <c r="F199" s="2356" t="str">
        <f>INDEX(PT_DIFFERENTIATION_VTAR,MATCH(A199,PT_DIFFERENTIATION_VTAR_ID,0))</f>
        <v>Тариф на подключение (технологическое присоединение) к централизованной системе горячего водоснабжения</v>
      </c>
      <c r="G199" s="2393"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1158</v>
      </c>
      <c r="D200" s="2418"/>
      <c r="E200" s="2207"/>
      <c r="F200" s="2356"/>
      <c r="G200" s="2393"/>
      <c r="H200" s="1427"/>
      <c r="I200" s="588" t="s">
        <v>1157</v>
      </c>
      <c r="J200" s="508"/>
      <c r="K200" s="1427"/>
      <c r="L200" s="152"/>
      <c r="M200" s="279"/>
      <c r="N200" s="272"/>
      <c r="O200" s="1551"/>
      <c r="P200" s="1551"/>
      <c r="AH200" s="1558">
        <v>0</v>
      </c>
    </row>
    <row r="201" spans="1:34" s="1562" customFormat="1" ht="0.75" hidden="1" customHeight="1">
      <c r="A201" s="1706"/>
      <c r="B201" s="1706"/>
      <c r="C201" s="306" t="s">
        <v>1168</v>
      </c>
      <c r="D201" s="2418"/>
      <c r="E201" s="2207"/>
      <c r="F201" s="2356"/>
      <c r="G201" s="337"/>
      <c r="H201" s="1427"/>
      <c r="I201" s="588"/>
      <c r="J201" s="508"/>
      <c r="K201" s="1427"/>
      <c r="L201" s="152"/>
      <c r="M201" s="279"/>
      <c r="N201" s="272"/>
      <c r="O201" s="1551"/>
      <c r="P201" s="1551"/>
      <c r="AH201" s="1558">
        <v>0</v>
      </c>
    </row>
    <row r="202" spans="1:34" s="1562" customFormat="1" ht="18.75" hidden="1" customHeight="1">
      <c r="A202" s="1706" t="s">
        <v>271</v>
      </c>
      <c r="B202" s="1706" t="s">
        <v>272</v>
      </c>
      <c r="C202" s="306"/>
      <c r="D202" s="2418"/>
      <c r="E202" s="2207"/>
      <c r="F202" s="2356" t="str">
        <f>INDEX(PT_DIFFERENTIATION_VTAR,MATCH(A202,PT_DIFFERENTIATION_VTAR_ID,0))</f>
        <v>Тариф на водоотведение</v>
      </c>
      <c r="G202" s="2393"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1158</v>
      </c>
      <c r="D203" s="2418"/>
      <c r="E203" s="2207"/>
      <c r="F203" s="2356"/>
      <c r="G203" s="2393"/>
      <c r="H203" s="1427"/>
      <c r="I203" s="588" t="s">
        <v>1157</v>
      </c>
      <c r="J203" s="508"/>
      <c r="K203" s="1427"/>
      <c r="L203" s="152"/>
      <c r="M203" s="279"/>
      <c r="N203" s="272"/>
      <c r="O203" s="1551"/>
      <c r="P203" s="1551"/>
      <c r="AH203" s="1558">
        <v>0</v>
      </c>
    </row>
    <row r="204" spans="1:34" s="1562" customFormat="1" ht="0.75" hidden="1" customHeight="1">
      <c r="A204" s="1706"/>
      <c r="B204" s="1706"/>
      <c r="C204" s="306" t="s">
        <v>1168</v>
      </c>
      <c r="D204" s="2418"/>
      <c r="E204" s="2207"/>
      <c r="F204" s="2356"/>
      <c r="G204" s="337"/>
      <c r="H204" s="1427"/>
      <c r="I204" s="588"/>
      <c r="J204" s="508"/>
      <c r="K204" s="1427"/>
      <c r="L204" s="152"/>
      <c r="M204" s="279"/>
      <c r="N204" s="272"/>
      <c r="O204" s="1551"/>
      <c r="P204" s="1551"/>
      <c r="AH204" s="1558">
        <v>0</v>
      </c>
    </row>
    <row r="205" spans="1:34" s="1562" customFormat="1" ht="18.75" hidden="1" customHeight="1">
      <c r="A205" s="1706" t="s">
        <v>276</v>
      </c>
      <c r="B205" s="1706" t="s">
        <v>277</v>
      </c>
      <c r="C205" s="306"/>
      <c r="D205" s="2418"/>
      <c r="E205" s="2207"/>
      <c r="F205" s="2356" t="str">
        <f>INDEX(PT_DIFFERENTIATION_VTAR,MATCH(A205,PT_DIFFERENTIATION_VTAR_ID,0))</f>
        <v>Тариф на транспортировку сточных вод</v>
      </c>
      <c r="G205" s="2393"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1158</v>
      </c>
      <c r="D206" s="2418"/>
      <c r="E206" s="2207"/>
      <c r="F206" s="2356"/>
      <c r="G206" s="2393"/>
      <c r="H206" s="1427"/>
      <c r="I206" s="588" t="s">
        <v>1157</v>
      </c>
      <c r="J206" s="508"/>
      <c r="K206" s="1427"/>
      <c r="L206" s="152"/>
      <c r="M206" s="279"/>
      <c r="N206" s="272"/>
      <c r="O206" s="1551"/>
      <c r="P206" s="1551"/>
      <c r="AH206" s="1558">
        <v>0</v>
      </c>
    </row>
    <row r="207" spans="1:34" s="1562" customFormat="1" ht="0.75" hidden="1" customHeight="1">
      <c r="A207" s="1706"/>
      <c r="B207" s="1706"/>
      <c r="C207" s="306" t="s">
        <v>1168</v>
      </c>
      <c r="D207" s="2418"/>
      <c r="E207" s="2207"/>
      <c r="F207" s="2356"/>
      <c r="G207" s="337"/>
      <c r="H207" s="1427"/>
      <c r="I207" s="588"/>
      <c r="J207" s="508"/>
      <c r="K207" s="1427"/>
      <c r="L207" s="152"/>
      <c r="M207" s="279"/>
      <c r="N207" s="272"/>
      <c r="O207" s="1551"/>
      <c r="P207" s="1551"/>
      <c r="AH207" s="1558">
        <v>0</v>
      </c>
    </row>
    <row r="208" spans="1:34" s="1562" customFormat="1" ht="18.75" hidden="1" customHeight="1">
      <c r="A208" s="1706" t="s">
        <v>281</v>
      </c>
      <c r="B208" s="1706" t="s">
        <v>282</v>
      </c>
      <c r="C208" s="306"/>
      <c r="D208" s="2418"/>
      <c r="E208" s="2207"/>
      <c r="F208" s="2356" t="str">
        <f>INDEX(PT_DIFFERENTIATION_VTAR,MATCH(A208,PT_DIFFERENTIATION_VTAR_ID,0))</f>
        <v>Тариф на подключение (технологическое присоединение) к централизованной системе водоотведения</v>
      </c>
      <c r="G208" s="2393" t="str">
        <f>INDEX(PT_DIFFERENTIATION_NTAR,MATCH(B208,PT_DIFFERENTIATION_NTAR_ID,0))</f>
        <v/>
      </c>
      <c r="H208" s="1787"/>
      <c r="I208" s="1665"/>
      <c r="J208" s="1699"/>
      <c r="K208" s="1704"/>
      <c r="L208" s="1787" t="s">
        <v>312</v>
      </c>
      <c r="M208" s="279"/>
      <c r="N208" s="272"/>
      <c r="O208" s="1551"/>
      <c r="P208" s="1551"/>
      <c r="AH208" s="1558">
        <v>0</v>
      </c>
    </row>
    <row r="209" spans="1:34" s="1562" customFormat="1" ht="18.75" hidden="1" customHeight="1">
      <c r="A209" s="1706"/>
      <c r="B209" s="1706"/>
      <c r="C209" s="306" t="s">
        <v>1158</v>
      </c>
      <c r="D209" s="2418"/>
      <c r="E209" s="2207"/>
      <c r="F209" s="2356"/>
      <c r="G209" s="2393"/>
      <c r="H209" s="1427"/>
      <c r="I209" s="588" t="s">
        <v>1157</v>
      </c>
      <c r="J209" s="508"/>
      <c r="K209" s="1427"/>
      <c r="L209" s="152"/>
      <c r="M209" s="279"/>
      <c r="N209" s="272"/>
      <c r="O209" s="1551"/>
      <c r="P209" s="1551"/>
      <c r="AH209" s="1558">
        <v>0</v>
      </c>
    </row>
    <row r="210" spans="1:34" s="1562" customFormat="1" ht="1.1499999999999999" customHeight="1">
      <c r="A210" s="1706"/>
      <c r="B210" s="1706"/>
      <c r="C210" s="306" t="s">
        <v>1168</v>
      </c>
      <c r="D210" s="2418"/>
      <c r="E210" s="2207"/>
      <c r="F210" s="2356"/>
      <c r="G210" s="337"/>
      <c r="H210" s="1427"/>
      <c r="I210" s="588"/>
      <c r="J210" s="508"/>
      <c r="K210" s="1427"/>
      <c r="L210" s="152"/>
      <c r="M210" s="279"/>
      <c r="N210" s="272"/>
      <c r="O210" s="1551"/>
      <c r="P210" s="1551"/>
      <c r="AH210" s="1558">
        <v>1</v>
      </c>
    </row>
    <row r="211" spans="1:34" ht="27.4" customHeight="1">
      <c r="A211" s="1706"/>
      <c r="B211" s="1706"/>
      <c r="D211" s="313"/>
      <c r="E211" s="85" t="s">
        <v>112</v>
      </c>
      <c r="F211" s="241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1" s="2417"/>
      <c r="H211" s="2417"/>
      <c r="I211" s="2417"/>
      <c r="J211" s="2417"/>
      <c r="K211" s="2417"/>
      <c r="L211" s="2417"/>
      <c r="M211" s="235"/>
      <c r="N211" s="272"/>
      <c r="AH211" s="311">
        <v>26</v>
      </c>
    </row>
    <row r="212" spans="1:34" s="1562" customFormat="1" ht="60.75" hidden="1" customHeight="1">
      <c r="A212" s="1706" t="s">
        <v>156</v>
      </c>
      <c r="B212" s="1706" t="s">
        <v>157</v>
      </c>
      <c r="C212" s="306"/>
      <c r="D212" s="2418"/>
      <c r="E212" s="2207"/>
      <c r="F212" s="2356" t="str">
        <f>INDEX(PT_DIFFERENTIATION_VTAR,MATCH(A212,PT_DIFFERENTIATION_VTAR_ID,0))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2" s="2393" t="str">
        <f>INDEX(PT_DIFFERENTIATION_NTAR,MATCH(B212,PT_DIFFERENTIATION_NTAR_ID,0))</f>
        <v/>
      </c>
      <c r="H212" s="1787"/>
      <c r="I212" s="1665"/>
      <c r="J212" s="1699"/>
      <c r="K212" s="1704"/>
      <c r="L212" s="1787" t="s">
        <v>312</v>
      </c>
      <c r="M212"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2" s="272"/>
      <c r="O212" s="1551"/>
      <c r="P212" s="1551"/>
      <c r="AH212" s="1558">
        <v>0</v>
      </c>
    </row>
    <row r="213" spans="1:34" s="1562" customFormat="1" ht="18.75" hidden="1" customHeight="1">
      <c r="A213" s="1706"/>
      <c r="B213" s="1706"/>
      <c r="C213" s="306" t="s">
        <v>1158</v>
      </c>
      <c r="D213" s="2418"/>
      <c r="E213" s="2207"/>
      <c r="F213" s="2356"/>
      <c r="G213" s="2393"/>
      <c r="H213" s="1427"/>
      <c r="I213" s="588" t="s">
        <v>1157</v>
      </c>
      <c r="J213" s="508"/>
      <c r="K213" s="1427"/>
      <c r="L213" s="152"/>
      <c r="M213" s="2161"/>
      <c r="N213" s="272"/>
      <c r="O213" s="1551"/>
      <c r="P213" s="1551"/>
      <c r="AH213" s="1558">
        <v>0</v>
      </c>
    </row>
    <row r="214" spans="1:34" s="1562" customFormat="1" ht="0.75" hidden="1" customHeight="1">
      <c r="A214" s="1706"/>
      <c r="B214" s="1706"/>
      <c r="C214" s="306" t="s">
        <v>1168</v>
      </c>
      <c r="D214" s="2418"/>
      <c r="E214" s="2207"/>
      <c r="F214" s="2356"/>
      <c r="G214" s="337"/>
      <c r="H214" s="1427"/>
      <c r="I214" s="588"/>
      <c r="J214" s="508"/>
      <c r="K214" s="1427"/>
      <c r="L214" s="152"/>
      <c r="M214" s="2161"/>
      <c r="N214" s="272"/>
      <c r="O214" s="1551"/>
      <c r="P214" s="1551"/>
      <c r="AH214" s="1558">
        <v>0</v>
      </c>
    </row>
    <row r="215" spans="1:34" s="1562" customFormat="1" ht="119.1" customHeight="1">
      <c r="A215" s="1706" t="s">
        <v>164</v>
      </c>
      <c r="B215" s="1706" t="s">
        <v>165</v>
      </c>
      <c r="C215" s="306"/>
      <c r="D215" s="2418"/>
      <c r="E215" s="2207"/>
      <c r="F215" s="2356" t="str">
        <f>INDEX(PT_DIFFERENTIATION_VTAR,MATCH(A215,PT_DIFFERENTIATION_VTAR_ID,0))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5" s="2393" t="str">
        <f>INDEX(PT_DIFFERENTIATION_NTAR,MATCH(B215,PT_DIFFERENTIATION_NTAR_ID,0))</f>
        <v>Тариф на тепловую энергию (мощность) для потребителей на территории Засечного сельсовета Пензенского района Пензенской области</v>
      </c>
      <c r="H215" s="1787"/>
      <c r="I215" s="1665">
        <v>46023</v>
      </c>
      <c r="J215" s="1699">
        <v>46387</v>
      </c>
      <c r="K215" s="1704">
        <v>0</v>
      </c>
      <c r="L215" s="1787" t="s">
        <v>312</v>
      </c>
      <c r="M215" s="2162"/>
      <c r="N215" s="272"/>
      <c r="O215" s="1551"/>
      <c r="P215" s="1551"/>
      <c r="AH215" s="1558">
        <v>0</v>
      </c>
    </row>
    <row r="216" spans="1:34" s="1562" customFormat="1" ht="18.75" customHeight="1">
      <c r="A216" s="1706"/>
      <c r="B216" s="1706"/>
      <c r="C216" s="306" t="s">
        <v>1158</v>
      </c>
      <c r="D216" s="2418"/>
      <c r="E216" s="2207"/>
      <c r="F216" s="2356"/>
      <c r="G216" s="2393"/>
      <c r="H216" s="1427"/>
      <c r="I216" s="588" t="s">
        <v>1157</v>
      </c>
      <c r="J216" s="508"/>
      <c r="K216" s="1427"/>
      <c r="L216" s="152"/>
      <c r="M216" s="1786"/>
      <c r="N216" s="272"/>
      <c r="O216" s="1551"/>
      <c r="P216" s="1551"/>
      <c r="AH216" s="1558">
        <v>0</v>
      </c>
    </row>
    <row r="217" spans="1:34" s="1562" customFormat="1" ht="0.75" customHeight="1">
      <c r="A217" s="1706"/>
      <c r="B217" s="1706"/>
      <c r="C217" s="306" t="s">
        <v>1168</v>
      </c>
      <c r="D217" s="2418"/>
      <c r="E217" s="2207"/>
      <c r="F217" s="2356"/>
      <c r="G217" s="337"/>
      <c r="H217" s="1427"/>
      <c r="I217" s="588"/>
      <c r="J217" s="508"/>
      <c r="K217" s="1427"/>
      <c r="L217" s="152"/>
      <c r="M217" s="279"/>
      <c r="N217" s="272"/>
      <c r="O217" s="1551"/>
      <c r="P217" s="1551"/>
      <c r="AH217" s="1558">
        <v>0</v>
      </c>
    </row>
    <row r="218" spans="1:34" s="1562" customFormat="1" ht="45" hidden="1" customHeight="1">
      <c r="A218" s="1706" t="s">
        <v>174</v>
      </c>
      <c r="B218" s="1706" t="s">
        <v>175</v>
      </c>
      <c r="C218" s="306"/>
      <c r="D218" s="2418"/>
      <c r="E218" s="2207"/>
      <c r="F218" s="2356" t="str">
        <f>INDEX(PT_DIFFERENTIATION_VTAR,MATCH(A218,PT_DIFFERENTIATION_VTAR_ID,0))</f>
        <v>Тарифы на теплоноситель, поставляемый теплоснабжающими организациями потребителям, другим теплоснабжающим организациям</v>
      </c>
      <c r="G218" s="2393"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1158</v>
      </c>
      <c r="D219" s="2418"/>
      <c r="E219" s="2207"/>
      <c r="F219" s="2356"/>
      <c r="G219" s="2393"/>
      <c r="H219" s="1427"/>
      <c r="I219" s="588" t="s">
        <v>1157</v>
      </c>
      <c r="J219" s="508"/>
      <c r="K219" s="1427"/>
      <c r="L219" s="152"/>
      <c r="M219" s="279"/>
      <c r="N219" s="272"/>
      <c r="O219" s="1551"/>
      <c r="P219" s="1551"/>
      <c r="AH219" s="1558">
        <v>0</v>
      </c>
    </row>
    <row r="220" spans="1:34" s="1562" customFormat="1" ht="0.75" hidden="1" customHeight="1">
      <c r="A220" s="1706"/>
      <c r="B220" s="1706"/>
      <c r="C220" s="306" t="s">
        <v>1168</v>
      </c>
      <c r="D220" s="2418"/>
      <c r="E220" s="2207"/>
      <c r="F220" s="2356"/>
      <c r="G220" s="337"/>
      <c r="H220" s="1427"/>
      <c r="I220" s="588"/>
      <c r="J220" s="508"/>
      <c r="K220" s="1427"/>
      <c r="L220" s="152"/>
      <c r="M220" s="279"/>
      <c r="N220" s="272"/>
      <c r="O220" s="1551"/>
      <c r="P220" s="1551"/>
      <c r="AH220" s="1558">
        <v>0</v>
      </c>
    </row>
    <row r="221" spans="1:34" s="1562" customFormat="1" ht="45" hidden="1" customHeight="1">
      <c r="A221" s="1706" t="s">
        <v>180</v>
      </c>
      <c r="B221" s="1706" t="s">
        <v>181</v>
      </c>
      <c r="C221" s="306"/>
      <c r="D221" s="2418"/>
      <c r="E221" s="2207"/>
      <c r="F221" s="2356" t="str">
        <f>INDEX(PT_DIFFERENTIATION_VTAR,MATCH(A221,PT_DIFFERENTIATION_VTAR_ID,0))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1" s="2393"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1158</v>
      </c>
      <c r="D222" s="2418"/>
      <c r="E222" s="2207"/>
      <c r="F222" s="2356"/>
      <c r="G222" s="2393"/>
      <c r="H222" s="1427"/>
      <c r="I222" s="588" t="s">
        <v>1157</v>
      </c>
      <c r="J222" s="508"/>
      <c r="K222" s="1427"/>
      <c r="L222" s="152"/>
      <c r="M222" s="279"/>
      <c r="N222" s="272"/>
      <c r="O222" s="1551"/>
      <c r="P222" s="1551"/>
      <c r="AH222" s="1558">
        <v>0</v>
      </c>
    </row>
    <row r="223" spans="1:34" s="1562" customFormat="1" ht="0.75" hidden="1" customHeight="1">
      <c r="A223" s="1706"/>
      <c r="B223" s="1706"/>
      <c r="C223" s="306" t="s">
        <v>1168</v>
      </c>
      <c r="D223" s="2418"/>
      <c r="E223" s="2207"/>
      <c r="F223" s="2356"/>
      <c r="G223" s="337"/>
      <c r="H223" s="1427"/>
      <c r="I223" s="588"/>
      <c r="J223" s="508"/>
      <c r="K223" s="1427"/>
      <c r="L223" s="152"/>
      <c r="M223" s="279"/>
      <c r="N223" s="272"/>
      <c r="O223" s="1551"/>
      <c r="P223" s="1551"/>
      <c r="AH223" s="1558">
        <v>0</v>
      </c>
    </row>
    <row r="224" spans="1:34" s="1562" customFormat="1" ht="18.75" hidden="1" customHeight="1">
      <c r="A224" s="1706" t="s">
        <v>186</v>
      </c>
      <c r="B224" s="1706" t="s">
        <v>187</v>
      </c>
      <c r="C224" s="306"/>
      <c r="D224" s="2418"/>
      <c r="E224" s="2207"/>
      <c r="F224" s="2356" t="str">
        <f>INDEX(PT_DIFFERENTIATION_VTAR,MATCH(A224,PT_DIFFERENTIATION_VTAR_ID,0))</f>
        <v>Тарифы на услуги по передаче тепловой энергии</v>
      </c>
      <c r="G224" s="2393"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1158</v>
      </c>
      <c r="D225" s="2418"/>
      <c r="E225" s="2207"/>
      <c r="F225" s="2356"/>
      <c r="G225" s="2393"/>
      <c r="H225" s="1427"/>
      <c r="I225" s="588" t="s">
        <v>1157</v>
      </c>
      <c r="J225" s="508"/>
      <c r="K225" s="1427"/>
      <c r="L225" s="152"/>
      <c r="M225" s="279"/>
      <c r="N225" s="272"/>
      <c r="O225" s="1551"/>
      <c r="P225" s="1551"/>
      <c r="AH225" s="1558">
        <v>0</v>
      </c>
    </row>
    <row r="226" spans="1:34" s="1562" customFormat="1" ht="0.75" hidden="1" customHeight="1">
      <c r="A226" s="1706"/>
      <c r="B226" s="1706"/>
      <c r="C226" s="306" t="s">
        <v>1168</v>
      </c>
      <c r="D226" s="2418"/>
      <c r="E226" s="2207"/>
      <c r="F226" s="2356"/>
      <c r="G226" s="337"/>
      <c r="H226" s="1427"/>
      <c r="I226" s="588"/>
      <c r="J226" s="508"/>
      <c r="K226" s="1427"/>
      <c r="L226" s="152"/>
      <c r="M226" s="279"/>
      <c r="N226" s="272"/>
      <c r="O226" s="1551"/>
      <c r="P226" s="1551"/>
      <c r="AH226" s="1558">
        <v>0</v>
      </c>
    </row>
    <row r="227" spans="1:34" s="1562" customFormat="1" ht="18.75" hidden="1" customHeight="1">
      <c r="A227" s="1706" t="s">
        <v>192</v>
      </c>
      <c r="B227" s="1706" t="s">
        <v>193</v>
      </c>
      <c r="C227" s="306"/>
      <c r="D227" s="2418"/>
      <c r="E227" s="2207"/>
      <c r="F227" s="2356" t="str">
        <f>INDEX(PT_DIFFERENTIATION_VTAR,MATCH(A227,PT_DIFFERENTIATION_VTAR_ID,0))</f>
        <v>Тарифы на услуги по передаче теплоносителя</v>
      </c>
      <c r="G227" s="2393"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1158</v>
      </c>
      <c r="D228" s="2418"/>
      <c r="E228" s="2207"/>
      <c r="F228" s="2356"/>
      <c r="G228" s="2393"/>
      <c r="H228" s="1427"/>
      <c r="I228" s="588" t="s">
        <v>1157</v>
      </c>
      <c r="J228" s="508"/>
      <c r="K228" s="1427"/>
      <c r="L228" s="152"/>
      <c r="M228" s="279"/>
      <c r="N228" s="272"/>
      <c r="O228" s="1551"/>
      <c r="P228" s="1551"/>
      <c r="AH228" s="1558">
        <v>0</v>
      </c>
    </row>
    <row r="229" spans="1:34" s="1562" customFormat="1" ht="0.75" hidden="1" customHeight="1">
      <c r="A229" s="1706"/>
      <c r="B229" s="1706"/>
      <c r="C229" s="306" t="s">
        <v>1168</v>
      </c>
      <c r="D229" s="2418"/>
      <c r="E229" s="2207"/>
      <c r="F229" s="2356"/>
      <c r="G229" s="337"/>
      <c r="H229" s="1427"/>
      <c r="I229" s="588"/>
      <c r="J229" s="508"/>
      <c r="K229" s="1427"/>
      <c r="L229" s="152"/>
      <c r="M229" s="279"/>
      <c r="N229" s="272"/>
      <c r="O229" s="1551"/>
      <c r="P229" s="1551"/>
      <c r="AH229" s="1558">
        <v>0</v>
      </c>
    </row>
    <row r="230" spans="1:34" s="1562" customFormat="1" ht="18.75" hidden="1" customHeight="1">
      <c r="A230" s="1706" t="s">
        <v>198</v>
      </c>
      <c r="B230" s="1706" t="s">
        <v>199</v>
      </c>
      <c r="C230" s="306"/>
      <c r="D230" s="2418"/>
      <c r="E230" s="2207"/>
      <c r="F230" s="2356" t="str">
        <f>INDEX(PT_DIFFERENTIATION_VTAR,MATCH(A230,PT_DIFFERENTIATION_VTAR_ID,0))</f>
        <v>Плата за услуги по поддержанию резервной тепловой мощности при отсутствии потребления тепловой энергии</v>
      </c>
      <c r="G230" s="2393"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1158</v>
      </c>
      <c r="D231" s="2418"/>
      <c r="E231" s="2207"/>
      <c r="F231" s="2356"/>
      <c r="G231" s="2393"/>
      <c r="H231" s="1427"/>
      <c r="I231" s="588" t="s">
        <v>1157</v>
      </c>
      <c r="J231" s="508"/>
      <c r="K231" s="1427"/>
      <c r="L231" s="152"/>
      <c r="M231" s="279"/>
      <c r="N231" s="272"/>
      <c r="O231" s="1551"/>
      <c r="P231" s="1551"/>
      <c r="AH231" s="1558">
        <v>0</v>
      </c>
    </row>
    <row r="232" spans="1:34" s="1562" customFormat="1" ht="0.75" hidden="1" customHeight="1">
      <c r="A232" s="1706"/>
      <c r="B232" s="1706"/>
      <c r="C232" s="306" t="s">
        <v>1168</v>
      </c>
      <c r="D232" s="2418"/>
      <c r="E232" s="2207"/>
      <c r="F232" s="2356"/>
      <c r="G232" s="337"/>
      <c r="H232" s="1427"/>
      <c r="I232" s="588"/>
      <c r="J232" s="508"/>
      <c r="K232" s="1427"/>
      <c r="L232" s="152"/>
      <c r="M232" s="279"/>
      <c r="N232" s="272"/>
      <c r="O232" s="1551"/>
      <c r="P232" s="1551"/>
      <c r="AH232" s="1558">
        <v>0</v>
      </c>
    </row>
    <row r="233" spans="1:34" s="1562" customFormat="1" ht="18.75" customHeight="1">
      <c r="A233" s="1706" t="s">
        <v>205</v>
      </c>
      <c r="B233" s="1706" t="s">
        <v>206</v>
      </c>
      <c r="C233" s="306"/>
      <c r="D233" s="2418"/>
      <c r="E233" s="2207"/>
      <c r="F233" s="2356" t="str">
        <f>INDEX(PT_DIFFERENTIATION_VTAR,MATCH(A233,PT_DIFFERENTIATION_VTAR_ID,0))</f>
        <v>Плата за подключение (технологическое присоединение) к системе теплоснабжения</v>
      </c>
      <c r="G233" s="2393" t="str">
        <f>INDEX(PT_DIFFERENTIATION_NTAR,MATCH(B233,PT_DIFFERENTIATION_NTAR_ID,0))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233" s="1787"/>
      <c r="I233" s="1665">
        <v>46023</v>
      </c>
      <c r="J233" s="1699">
        <v>46387</v>
      </c>
      <c r="K233" s="1704">
        <v>0</v>
      </c>
      <c r="L233" s="1787" t="s">
        <v>312</v>
      </c>
      <c r="M233" s="279"/>
      <c r="N233" s="272"/>
      <c r="O233" s="1551"/>
      <c r="P233" s="1551"/>
      <c r="AH233" s="1558">
        <v>0</v>
      </c>
    </row>
    <row r="234" spans="1:34" s="1562" customFormat="1" ht="18.75" customHeight="1">
      <c r="A234" s="1706"/>
      <c r="B234" s="1706"/>
      <c r="C234" s="306" t="s">
        <v>1158</v>
      </c>
      <c r="D234" s="2418"/>
      <c r="E234" s="2207"/>
      <c r="F234" s="2356"/>
      <c r="G234" s="2393"/>
      <c r="H234" s="1427"/>
      <c r="I234" s="588" t="s">
        <v>1157</v>
      </c>
      <c r="J234" s="508"/>
      <c r="K234" s="1427"/>
      <c r="L234" s="152"/>
      <c r="M234" s="279"/>
      <c r="N234" s="272"/>
      <c r="O234" s="1551"/>
      <c r="P234" s="1551"/>
      <c r="AH234" s="1558">
        <v>0</v>
      </c>
    </row>
    <row r="235" spans="1:34" s="1562" customFormat="1" ht="0.75" customHeight="1">
      <c r="A235" s="1706"/>
      <c r="B235" s="1706"/>
      <c r="C235" s="306" t="s">
        <v>1168</v>
      </c>
      <c r="D235" s="2418"/>
      <c r="E235" s="2207"/>
      <c r="F235" s="2356"/>
      <c r="G235" s="337"/>
      <c r="H235" s="1427"/>
      <c r="I235" s="588"/>
      <c r="J235" s="508"/>
      <c r="K235" s="1427"/>
      <c r="L235" s="152"/>
      <c r="M235" s="279"/>
      <c r="N235" s="272"/>
      <c r="O235" s="1551"/>
      <c r="P235" s="1551"/>
      <c r="AH235" s="1558">
        <v>0</v>
      </c>
    </row>
    <row r="236" spans="1:34" s="1562" customFormat="1" ht="18.75" hidden="1" customHeight="1">
      <c r="A236" s="1706" t="s">
        <v>211</v>
      </c>
      <c r="B236" s="1706" t="s">
        <v>212</v>
      </c>
      <c r="C236" s="306"/>
      <c r="D236" s="2418"/>
      <c r="E236" s="2207"/>
      <c r="F236" s="2356" t="str">
        <f>INDEX(PT_DIFFERENTIATION_VTAR,MATCH(A236,PT_DIFFERENTIATION_VTAR_ID,0))</f>
        <v>Плата за подключение (технологическое присоединение) к системе теплоснабжения (индивидуальная)</v>
      </c>
      <c r="G236" s="2393" t="str">
        <f>INDEX(PT_DIFFERENTIATION_NTAR,MATCH(B236,PT_DIFFERENTIATION_NTAR_ID,0))</f>
        <v/>
      </c>
      <c r="H236" s="1911"/>
      <c r="I236" s="1665"/>
      <c r="J236" s="1699"/>
      <c r="K236" s="1704"/>
      <c r="L236" s="1911" t="s">
        <v>312</v>
      </c>
      <c r="M236" s="279"/>
      <c r="N236" s="272"/>
      <c r="O236" s="1551"/>
      <c r="P236" s="1551"/>
      <c r="AH236" s="1558">
        <v>0</v>
      </c>
    </row>
    <row r="237" spans="1:34" s="1562" customFormat="1" ht="18.75" hidden="1" customHeight="1">
      <c r="A237" s="1706"/>
      <c r="B237" s="1706"/>
      <c r="C237" s="306" t="s">
        <v>1158</v>
      </c>
      <c r="D237" s="2418"/>
      <c r="E237" s="2207"/>
      <c r="F237" s="2356"/>
      <c r="G237" s="2393"/>
      <c r="H237" s="1427"/>
      <c r="I237" s="588" t="s">
        <v>1157</v>
      </c>
      <c r="J237" s="508"/>
      <c r="K237" s="1427"/>
      <c r="L237" s="152"/>
      <c r="M237" s="279"/>
      <c r="N237" s="272"/>
      <c r="O237" s="1551"/>
      <c r="P237" s="1551"/>
      <c r="AH237" s="1558">
        <v>0</v>
      </c>
    </row>
    <row r="238" spans="1:34" s="1562" customFormat="1" ht="0.75" hidden="1" customHeight="1">
      <c r="A238" s="1706"/>
      <c r="B238" s="1706"/>
      <c r="C238" s="306" t="s">
        <v>1168</v>
      </c>
      <c r="D238" s="2418"/>
      <c r="E238" s="2207"/>
      <c r="F238" s="2356"/>
      <c r="G238" s="337"/>
      <c r="H238" s="1427"/>
      <c r="I238" s="588"/>
      <c r="J238" s="508"/>
      <c r="K238" s="1427"/>
      <c r="L238" s="152"/>
      <c r="M238" s="279"/>
      <c r="N238" s="272"/>
      <c r="O238" s="1551"/>
      <c r="P238" s="1551"/>
      <c r="AH238" s="1558">
        <v>0</v>
      </c>
    </row>
    <row r="239" spans="1:34" s="1562" customFormat="1" ht="18.75" hidden="1" customHeight="1">
      <c r="A239" s="1706" t="s">
        <v>231</v>
      </c>
      <c r="B239" s="1706" t="s">
        <v>232</v>
      </c>
      <c r="C239" s="306"/>
      <c r="D239" s="2418"/>
      <c r="E239" s="2207"/>
      <c r="F239" s="2356" t="str">
        <f>INDEX(PT_DIFFERENTIATION_VTAR,MATCH(A239,PT_DIFFERENTIATION_VTAR_ID,0))</f>
        <v>Тариф на питьевую воду (питьевое водоснабжение)</v>
      </c>
      <c r="G239" s="2393"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1158</v>
      </c>
      <c r="D240" s="2418"/>
      <c r="E240" s="2207"/>
      <c r="F240" s="2356"/>
      <c r="G240" s="2393"/>
      <c r="H240" s="1427"/>
      <c r="I240" s="588" t="s">
        <v>1157</v>
      </c>
      <c r="J240" s="508"/>
      <c r="K240" s="1427"/>
      <c r="L240" s="152"/>
      <c r="M240" s="279"/>
      <c r="N240" s="272"/>
      <c r="O240" s="1551"/>
      <c r="P240" s="1551"/>
      <c r="AH240" s="1558">
        <v>0</v>
      </c>
    </row>
    <row r="241" spans="1:34" s="1562" customFormat="1" ht="0.75" hidden="1" customHeight="1">
      <c r="A241" s="1706"/>
      <c r="B241" s="1706"/>
      <c r="C241" s="306" t="s">
        <v>1168</v>
      </c>
      <c r="D241" s="2418"/>
      <c r="E241" s="2207"/>
      <c r="F241" s="2356"/>
      <c r="G241" s="337"/>
      <c r="H241" s="1427"/>
      <c r="I241" s="588"/>
      <c r="J241" s="508"/>
      <c r="K241" s="1427"/>
      <c r="L241" s="152"/>
      <c r="M241" s="279"/>
      <c r="N241" s="272"/>
      <c r="O241" s="1551"/>
      <c r="P241" s="1551"/>
      <c r="AH241" s="1558">
        <v>0</v>
      </c>
    </row>
    <row r="242" spans="1:34" s="1562" customFormat="1" ht="18.75" hidden="1" customHeight="1">
      <c r="A242" s="1706" t="s">
        <v>236</v>
      </c>
      <c r="B242" s="1706" t="s">
        <v>237</v>
      </c>
      <c r="C242" s="306"/>
      <c r="D242" s="2418"/>
      <c r="E242" s="2207"/>
      <c r="F242" s="2356" t="str">
        <f>INDEX(PT_DIFFERENTIATION_VTAR,MATCH(A242,PT_DIFFERENTIATION_VTAR_ID,0))</f>
        <v>Тариф на техническую воду</v>
      </c>
      <c r="G242" s="2393"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1158</v>
      </c>
      <c r="D243" s="2418"/>
      <c r="E243" s="2207"/>
      <c r="F243" s="2356"/>
      <c r="G243" s="2393"/>
      <c r="H243" s="1427"/>
      <c r="I243" s="588" t="s">
        <v>1157</v>
      </c>
      <c r="J243" s="508"/>
      <c r="K243" s="1427"/>
      <c r="L243" s="152"/>
      <c r="M243" s="279"/>
      <c r="N243" s="272"/>
      <c r="O243" s="1551"/>
      <c r="P243" s="1551"/>
      <c r="AH243" s="1558">
        <v>0</v>
      </c>
    </row>
    <row r="244" spans="1:34" s="1562" customFormat="1" ht="0.75" hidden="1" customHeight="1">
      <c r="A244" s="1706"/>
      <c r="B244" s="1706"/>
      <c r="C244" s="306" t="s">
        <v>1168</v>
      </c>
      <c r="D244" s="2418"/>
      <c r="E244" s="2207"/>
      <c r="F244" s="2356"/>
      <c r="G244" s="337"/>
      <c r="H244" s="1427"/>
      <c r="I244" s="588"/>
      <c r="J244" s="508"/>
      <c r="K244" s="1427"/>
      <c r="L244" s="152"/>
      <c r="M244" s="279"/>
      <c r="N244" s="272"/>
      <c r="O244" s="1551"/>
      <c r="P244" s="1551"/>
      <c r="AH244" s="1558">
        <v>0</v>
      </c>
    </row>
    <row r="245" spans="1:34" s="1562" customFormat="1" ht="18.75" hidden="1" customHeight="1">
      <c r="A245" s="1706" t="s">
        <v>241</v>
      </c>
      <c r="B245" s="1706" t="s">
        <v>242</v>
      </c>
      <c r="C245" s="306"/>
      <c r="D245" s="2418"/>
      <c r="E245" s="2207"/>
      <c r="F245" s="2356" t="str">
        <f>INDEX(PT_DIFFERENTIATION_VTAR,MATCH(A245,PT_DIFFERENTIATION_VTAR_ID,0))</f>
        <v>Тариф на транспортировку воды</v>
      </c>
      <c r="G245" s="2393"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1158</v>
      </c>
      <c r="D246" s="2418"/>
      <c r="E246" s="2207"/>
      <c r="F246" s="2356"/>
      <c r="G246" s="2393"/>
      <c r="H246" s="1427"/>
      <c r="I246" s="588" t="s">
        <v>1157</v>
      </c>
      <c r="J246" s="508"/>
      <c r="K246" s="1427"/>
      <c r="L246" s="152"/>
      <c r="M246" s="279"/>
      <c r="N246" s="272"/>
      <c r="O246" s="1551"/>
      <c r="P246" s="1551"/>
      <c r="AH246" s="1558">
        <v>0</v>
      </c>
    </row>
    <row r="247" spans="1:34" s="1562" customFormat="1" ht="0.75" hidden="1" customHeight="1">
      <c r="A247" s="1706"/>
      <c r="B247" s="1706"/>
      <c r="C247" s="306" t="s">
        <v>1168</v>
      </c>
      <c r="D247" s="2418"/>
      <c r="E247" s="2207"/>
      <c r="F247" s="2356"/>
      <c r="G247" s="337"/>
      <c r="H247" s="1427"/>
      <c r="I247" s="588"/>
      <c r="J247" s="508"/>
      <c r="K247" s="1427"/>
      <c r="L247" s="152"/>
      <c r="M247" s="279"/>
      <c r="N247" s="272"/>
      <c r="O247" s="1551"/>
      <c r="P247" s="1551"/>
      <c r="AH247" s="1558">
        <v>0</v>
      </c>
    </row>
    <row r="248" spans="1:34" s="1562" customFormat="1" ht="18.75" hidden="1" customHeight="1">
      <c r="A248" s="1706" t="s">
        <v>246</v>
      </c>
      <c r="B248" s="1706" t="s">
        <v>247</v>
      </c>
      <c r="C248" s="306"/>
      <c r="D248" s="2418"/>
      <c r="E248" s="2207"/>
      <c r="F248" s="2356" t="str">
        <f>INDEX(PT_DIFFERENTIATION_VTAR,MATCH(A248,PT_DIFFERENTIATION_VTAR_ID,0))</f>
        <v>Тариф на подвоз воды</v>
      </c>
      <c r="G248" s="2393"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1158</v>
      </c>
      <c r="D249" s="2418"/>
      <c r="E249" s="2207"/>
      <c r="F249" s="2356"/>
      <c r="G249" s="2393"/>
      <c r="H249" s="1427"/>
      <c r="I249" s="588" t="s">
        <v>1157</v>
      </c>
      <c r="J249" s="508"/>
      <c r="K249" s="1427"/>
      <c r="L249" s="152"/>
      <c r="M249" s="279"/>
      <c r="N249" s="272"/>
      <c r="O249" s="1551"/>
      <c r="P249" s="1551"/>
      <c r="AH249" s="1558">
        <v>0</v>
      </c>
    </row>
    <row r="250" spans="1:34" s="1562" customFormat="1" ht="0.75" hidden="1" customHeight="1">
      <c r="A250" s="1706"/>
      <c r="B250" s="1706"/>
      <c r="C250" s="306" t="s">
        <v>1168</v>
      </c>
      <c r="D250" s="2418"/>
      <c r="E250" s="2207"/>
      <c r="F250" s="2356"/>
      <c r="G250" s="337"/>
      <c r="H250" s="1427"/>
      <c r="I250" s="588"/>
      <c r="J250" s="508"/>
      <c r="K250" s="1427"/>
      <c r="L250" s="152"/>
      <c r="M250" s="279"/>
      <c r="N250" s="272"/>
      <c r="O250" s="1551"/>
      <c r="P250" s="1551"/>
      <c r="AH250" s="1558">
        <v>0</v>
      </c>
    </row>
    <row r="251" spans="1:34" s="1562" customFormat="1" ht="18.75" hidden="1" customHeight="1">
      <c r="A251" s="1706" t="s">
        <v>251</v>
      </c>
      <c r="B251" s="1706" t="s">
        <v>252</v>
      </c>
      <c r="C251" s="306"/>
      <c r="D251" s="2418"/>
      <c r="E251" s="2207"/>
      <c r="F251" s="2356" t="str">
        <f>INDEX(PT_DIFFERENTIATION_VTAR,MATCH(A251,PT_DIFFERENTIATION_VTAR_ID,0))</f>
        <v>Тариф на подключение (технологическое присоединение) к централизованной системе холодного водоснабжения</v>
      </c>
      <c r="G251" s="2393"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1158</v>
      </c>
      <c r="D252" s="2418"/>
      <c r="E252" s="2207"/>
      <c r="F252" s="2356"/>
      <c r="G252" s="2393"/>
      <c r="H252" s="1427"/>
      <c r="I252" s="588" t="s">
        <v>1157</v>
      </c>
      <c r="J252" s="508"/>
      <c r="K252" s="1427"/>
      <c r="L252" s="152"/>
      <c r="M252" s="279"/>
      <c r="N252" s="272"/>
      <c r="O252" s="1551"/>
      <c r="P252" s="1551"/>
      <c r="AH252" s="1558">
        <v>0</v>
      </c>
    </row>
    <row r="253" spans="1:34" s="1562" customFormat="1" ht="0.75" hidden="1" customHeight="1">
      <c r="A253" s="1706"/>
      <c r="B253" s="1706"/>
      <c r="C253" s="306" t="s">
        <v>1168</v>
      </c>
      <c r="D253" s="2418"/>
      <c r="E253" s="2207"/>
      <c r="F253" s="2356"/>
      <c r="G253" s="337"/>
      <c r="H253" s="1427"/>
      <c r="I253" s="588"/>
      <c r="J253" s="508"/>
      <c r="K253" s="1427"/>
      <c r="L253" s="152"/>
      <c r="M253" s="279"/>
      <c r="N253" s="272"/>
      <c r="O253" s="1551"/>
      <c r="P253" s="1551"/>
      <c r="AH253" s="1558">
        <v>0</v>
      </c>
    </row>
    <row r="254" spans="1:34" s="1562" customFormat="1" ht="18.75" hidden="1" customHeight="1">
      <c r="A254" s="1706" t="s">
        <v>256</v>
      </c>
      <c r="B254" s="1706" t="s">
        <v>257</v>
      </c>
      <c r="C254" s="306"/>
      <c r="D254" s="2418"/>
      <c r="E254" s="2207"/>
      <c r="F254" s="2356" t="str">
        <f>INDEX(PT_DIFFERENTIATION_VTAR,MATCH(A254,PT_DIFFERENTIATION_VTAR_ID,0))</f>
        <v>Тариф на горячую воду (горячее водоснабжение)</v>
      </c>
      <c r="G254" s="2393"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1158</v>
      </c>
      <c r="D255" s="2418"/>
      <c r="E255" s="2207"/>
      <c r="F255" s="2356"/>
      <c r="G255" s="2393"/>
      <c r="H255" s="1427"/>
      <c r="I255" s="588" t="s">
        <v>1157</v>
      </c>
      <c r="J255" s="508"/>
      <c r="K255" s="1427"/>
      <c r="L255" s="152"/>
      <c r="M255" s="279"/>
      <c r="N255" s="272"/>
      <c r="O255" s="1551"/>
      <c r="P255" s="1551"/>
      <c r="AH255" s="1558">
        <v>0</v>
      </c>
    </row>
    <row r="256" spans="1:34" s="1562" customFormat="1" ht="0.75" hidden="1" customHeight="1">
      <c r="A256" s="1706"/>
      <c r="B256" s="1706"/>
      <c r="C256" s="306" t="s">
        <v>1168</v>
      </c>
      <c r="D256" s="2418"/>
      <c r="E256" s="2207"/>
      <c r="F256" s="2356"/>
      <c r="G256" s="337"/>
      <c r="H256" s="1427"/>
      <c r="I256" s="588"/>
      <c r="J256" s="508"/>
      <c r="K256" s="1427"/>
      <c r="L256" s="152"/>
      <c r="M256" s="279"/>
      <c r="N256" s="272"/>
      <c r="O256" s="1551"/>
      <c r="P256" s="1551"/>
      <c r="AH256" s="1558">
        <v>0</v>
      </c>
    </row>
    <row r="257" spans="1:34" s="1562" customFormat="1" ht="18.75" hidden="1" customHeight="1">
      <c r="A257" s="1706" t="s">
        <v>261</v>
      </c>
      <c r="B257" s="1706" t="s">
        <v>262</v>
      </c>
      <c r="C257" s="306"/>
      <c r="D257" s="2418"/>
      <c r="E257" s="2207"/>
      <c r="F257" s="2356" t="str">
        <f>INDEX(PT_DIFFERENTIATION_VTAR,MATCH(A257,PT_DIFFERENTIATION_VTAR_ID,0))</f>
        <v>Тариф на транспортировку горячей воды</v>
      </c>
      <c r="G257" s="2393"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1158</v>
      </c>
      <c r="D258" s="2418"/>
      <c r="E258" s="2207"/>
      <c r="F258" s="2356"/>
      <c r="G258" s="2393"/>
      <c r="H258" s="1427"/>
      <c r="I258" s="588" t="s">
        <v>1157</v>
      </c>
      <c r="J258" s="508"/>
      <c r="K258" s="1427"/>
      <c r="L258" s="152"/>
      <c r="M258" s="279"/>
      <c r="N258" s="272"/>
      <c r="O258" s="1551"/>
      <c r="P258" s="1551"/>
      <c r="AH258" s="1558">
        <v>0</v>
      </c>
    </row>
    <row r="259" spans="1:34" s="1562" customFormat="1" ht="0.75" hidden="1" customHeight="1">
      <c r="A259" s="1706"/>
      <c r="B259" s="1706"/>
      <c r="C259" s="306" t="s">
        <v>1168</v>
      </c>
      <c r="D259" s="2418"/>
      <c r="E259" s="2207"/>
      <c r="F259" s="2356"/>
      <c r="G259" s="337"/>
      <c r="H259" s="1427"/>
      <c r="I259" s="588"/>
      <c r="J259" s="508"/>
      <c r="K259" s="1427"/>
      <c r="L259" s="152"/>
      <c r="M259" s="279"/>
      <c r="N259" s="272"/>
      <c r="O259" s="1551"/>
      <c r="P259" s="1551"/>
      <c r="AH259" s="1558">
        <v>0</v>
      </c>
    </row>
    <row r="260" spans="1:34" s="1562" customFormat="1" ht="18.75" hidden="1" customHeight="1">
      <c r="A260" s="1706" t="s">
        <v>266</v>
      </c>
      <c r="B260" s="1706" t="s">
        <v>267</v>
      </c>
      <c r="C260" s="306"/>
      <c r="D260" s="2418"/>
      <c r="E260" s="2207"/>
      <c r="F260" s="2356" t="str">
        <f>INDEX(PT_DIFFERENTIATION_VTAR,MATCH(A260,PT_DIFFERENTIATION_VTAR_ID,0))</f>
        <v>Тариф на подключение (технологическое присоединение) к централизованной системе горячего водоснабжения</v>
      </c>
      <c r="G260" s="2393"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1158</v>
      </c>
      <c r="D261" s="2418"/>
      <c r="E261" s="2207"/>
      <c r="F261" s="2356"/>
      <c r="G261" s="2393"/>
      <c r="H261" s="1427"/>
      <c r="I261" s="588" t="s">
        <v>1157</v>
      </c>
      <c r="J261" s="508"/>
      <c r="K261" s="1427"/>
      <c r="L261" s="152"/>
      <c r="M261" s="279"/>
      <c r="N261" s="272"/>
      <c r="O261" s="1551"/>
      <c r="P261" s="1551"/>
      <c r="AH261" s="1558">
        <v>0</v>
      </c>
    </row>
    <row r="262" spans="1:34" s="1562" customFormat="1" ht="0.75" hidden="1" customHeight="1">
      <c r="A262" s="1706"/>
      <c r="B262" s="1706"/>
      <c r="C262" s="306" t="s">
        <v>1168</v>
      </c>
      <c r="D262" s="2418"/>
      <c r="E262" s="2207"/>
      <c r="F262" s="2356"/>
      <c r="G262" s="337"/>
      <c r="H262" s="1427"/>
      <c r="I262" s="588"/>
      <c r="J262" s="508"/>
      <c r="K262" s="1427"/>
      <c r="L262" s="152"/>
      <c r="M262" s="279"/>
      <c r="N262" s="272"/>
      <c r="O262" s="1551"/>
      <c r="P262" s="1551"/>
      <c r="AH262" s="1558">
        <v>0</v>
      </c>
    </row>
    <row r="263" spans="1:34" s="1562" customFormat="1" ht="18.75" hidden="1" customHeight="1">
      <c r="A263" s="1706" t="s">
        <v>271</v>
      </c>
      <c r="B263" s="1706" t="s">
        <v>272</v>
      </c>
      <c r="C263" s="306"/>
      <c r="D263" s="2418"/>
      <c r="E263" s="2207"/>
      <c r="F263" s="2356" t="str">
        <f>INDEX(PT_DIFFERENTIATION_VTAR,MATCH(A263,PT_DIFFERENTIATION_VTAR_ID,0))</f>
        <v>Тариф на водоотведение</v>
      </c>
      <c r="G263" s="2393"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1158</v>
      </c>
      <c r="D264" s="2418"/>
      <c r="E264" s="2207"/>
      <c r="F264" s="2356"/>
      <c r="G264" s="2393"/>
      <c r="H264" s="1427"/>
      <c r="I264" s="588" t="s">
        <v>1157</v>
      </c>
      <c r="J264" s="508"/>
      <c r="K264" s="1427"/>
      <c r="L264" s="152"/>
      <c r="M264" s="279"/>
      <c r="N264" s="272"/>
      <c r="O264" s="1551"/>
      <c r="P264" s="1551"/>
      <c r="AH264" s="1558">
        <v>0</v>
      </c>
    </row>
    <row r="265" spans="1:34" s="1562" customFormat="1" ht="0.75" hidden="1" customHeight="1">
      <c r="A265" s="1706"/>
      <c r="B265" s="1706"/>
      <c r="C265" s="306" t="s">
        <v>1168</v>
      </c>
      <c r="D265" s="2418"/>
      <c r="E265" s="2207"/>
      <c r="F265" s="2356"/>
      <c r="G265" s="337"/>
      <c r="H265" s="1427"/>
      <c r="I265" s="588"/>
      <c r="J265" s="508"/>
      <c r="K265" s="1427"/>
      <c r="L265" s="152"/>
      <c r="M265" s="279"/>
      <c r="N265" s="272"/>
      <c r="O265" s="1551"/>
      <c r="P265" s="1551"/>
      <c r="AH265" s="1558">
        <v>0</v>
      </c>
    </row>
    <row r="266" spans="1:34" s="1562" customFormat="1" ht="18.75" hidden="1" customHeight="1">
      <c r="A266" s="1706" t="s">
        <v>276</v>
      </c>
      <c r="B266" s="1706" t="s">
        <v>277</v>
      </c>
      <c r="C266" s="306"/>
      <c r="D266" s="2418"/>
      <c r="E266" s="2207"/>
      <c r="F266" s="2356" t="str">
        <f>INDEX(PT_DIFFERENTIATION_VTAR,MATCH(A266,PT_DIFFERENTIATION_VTAR_ID,0))</f>
        <v>Тариф на транспортировку сточных вод</v>
      </c>
      <c r="G266" s="2393"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1158</v>
      </c>
      <c r="D267" s="2418"/>
      <c r="E267" s="2207"/>
      <c r="F267" s="2356"/>
      <c r="G267" s="2393"/>
      <c r="H267" s="1427"/>
      <c r="I267" s="588" t="s">
        <v>1157</v>
      </c>
      <c r="J267" s="508"/>
      <c r="K267" s="1427"/>
      <c r="L267" s="152"/>
      <c r="M267" s="279"/>
      <c r="N267" s="272"/>
      <c r="O267" s="1551"/>
      <c r="P267" s="1551"/>
      <c r="AH267" s="1558">
        <v>0</v>
      </c>
    </row>
    <row r="268" spans="1:34" s="1562" customFormat="1" ht="0.75" hidden="1" customHeight="1">
      <c r="A268" s="1706"/>
      <c r="B268" s="1706"/>
      <c r="C268" s="306" t="s">
        <v>1168</v>
      </c>
      <c r="D268" s="2418"/>
      <c r="E268" s="2207"/>
      <c r="F268" s="2356"/>
      <c r="G268" s="337"/>
      <c r="H268" s="1427"/>
      <c r="I268" s="588"/>
      <c r="J268" s="508"/>
      <c r="K268" s="1427"/>
      <c r="L268" s="152"/>
      <c r="M268" s="279"/>
      <c r="N268" s="272"/>
      <c r="O268" s="1551"/>
      <c r="P268" s="1551"/>
      <c r="AH268" s="1558">
        <v>0</v>
      </c>
    </row>
    <row r="269" spans="1:34" s="1562" customFormat="1" ht="18.75" hidden="1" customHeight="1">
      <c r="A269" s="1706" t="s">
        <v>281</v>
      </c>
      <c r="B269" s="1706" t="s">
        <v>282</v>
      </c>
      <c r="C269" s="306"/>
      <c r="D269" s="2418"/>
      <c r="E269" s="2207"/>
      <c r="F269" s="2356" t="str">
        <f>INDEX(PT_DIFFERENTIATION_VTAR,MATCH(A269,PT_DIFFERENTIATION_VTAR_ID,0))</f>
        <v>Тариф на подключение (технологическое присоединение) к централизованной системе водоотведения</v>
      </c>
      <c r="G269" s="2393" t="str">
        <f>INDEX(PT_DIFFERENTIATION_NTAR,MATCH(B269,PT_DIFFERENTIATION_NTAR_ID,0))</f>
        <v/>
      </c>
      <c r="H269" s="1787"/>
      <c r="I269" s="1665"/>
      <c r="J269" s="1699"/>
      <c r="K269" s="1704"/>
      <c r="L269" s="1787" t="s">
        <v>312</v>
      </c>
      <c r="M269" s="279"/>
      <c r="N269" s="272"/>
      <c r="O269" s="1551"/>
      <c r="P269" s="1551"/>
      <c r="AH269" s="1558">
        <v>0</v>
      </c>
    </row>
    <row r="270" spans="1:34" s="1562" customFormat="1" ht="18.75" hidden="1" customHeight="1">
      <c r="A270" s="1706"/>
      <c r="B270" s="1706"/>
      <c r="C270" s="306" t="s">
        <v>1158</v>
      </c>
      <c r="D270" s="2418"/>
      <c r="E270" s="2207"/>
      <c r="F270" s="2356"/>
      <c r="G270" s="2393"/>
      <c r="H270" s="1427"/>
      <c r="I270" s="588" t="s">
        <v>1157</v>
      </c>
      <c r="J270" s="508"/>
      <c r="K270" s="1427"/>
      <c r="L270" s="152"/>
      <c r="M270" s="279"/>
      <c r="N270" s="272"/>
      <c r="O270" s="1551"/>
      <c r="P270" s="1551"/>
      <c r="AH270" s="1558">
        <v>0</v>
      </c>
    </row>
    <row r="271" spans="1:34" s="1562" customFormat="1" ht="1.1499999999999999" customHeight="1">
      <c r="A271" s="1706"/>
      <c r="B271" s="1706"/>
      <c r="C271" s="306" t="s">
        <v>1168</v>
      </c>
      <c r="D271" s="2418"/>
      <c r="E271" s="2207"/>
      <c r="F271" s="2356"/>
      <c r="G271" s="337"/>
      <c r="H271" s="1427"/>
      <c r="I271" s="588"/>
      <c r="J271" s="508"/>
      <c r="K271" s="1427"/>
      <c r="L271" s="152"/>
      <c r="M271" s="279"/>
      <c r="N271" s="272"/>
      <c r="O271" s="1551"/>
      <c r="P271" s="1551"/>
      <c r="AH271" s="1558">
        <v>1</v>
      </c>
    </row>
    <row r="272" spans="1:34" ht="27.4" customHeight="1">
      <c r="A272" s="1706"/>
      <c r="B272" s="1706"/>
      <c r="D272" s="313"/>
      <c r="E272" s="85" t="s">
        <v>92</v>
      </c>
      <c r="F272" s="241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2" s="2417"/>
      <c r="H272" s="2417"/>
      <c r="I272" s="2417"/>
      <c r="J272" s="2417"/>
      <c r="K272" s="2417"/>
      <c r="L272" s="2417"/>
      <c r="M272" s="235"/>
      <c r="N272" s="272"/>
      <c r="AH272" s="311">
        <v>26</v>
      </c>
    </row>
    <row r="273" spans="1:34" s="1562" customFormat="1" ht="60.75" hidden="1" customHeight="1">
      <c r="A273" s="1706" t="s">
        <v>156</v>
      </c>
      <c r="B273" s="1706" t="s">
        <v>157</v>
      </c>
      <c r="C273" s="306"/>
      <c r="D273" s="2418"/>
      <c r="E273" s="2207"/>
      <c r="F273" s="2356" t="str">
        <f>INDEX(PT_DIFFERENTIATION_VTAR,MATCH(A273,PT_DIFFERENTIATION_VTAR_ID,0))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3" s="2393" t="str">
        <f>INDEX(PT_DIFFERENTIATION_NTAR,MATCH(B273,PT_DIFFERENTIATION_NTAR_ID,0))</f>
        <v/>
      </c>
      <c r="H273" s="1787"/>
      <c r="I273" s="1665"/>
      <c r="J273" s="1699"/>
      <c r="K273" s="1704"/>
      <c r="L273" s="1787" t="s">
        <v>312</v>
      </c>
      <c r="M273"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3" s="272"/>
      <c r="O273" s="1551"/>
      <c r="P273" s="1551"/>
      <c r="AH273" s="1558">
        <v>0</v>
      </c>
    </row>
    <row r="274" spans="1:34" s="1562" customFormat="1" ht="18.75" hidden="1" customHeight="1">
      <c r="A274" s="1706"/>
      <c r="B274" s="1706"/>
      <c r="C274" s="306" t="s">
        <v>1158</v>
      </c>
      <c r="D274" s="2418"/>
      <c r="E274" s="2207"/>
      <c r="F274" s="2356"/>
      <c r="G274" s="2393"/>
      <c r="H274" s="1427"/>
      <c r="I274" s="588" t="s">
        <v>1157</v>
      </c>
      <c r="J274" s="508"/>
      <c r="K274" s="1427"/>
      <c r="L274" s="152"/>
      <c r="M274" s="2161"/>
      <c r="N274" s="272"/>
      <c r="O274" s="1551"/>
      <c r="P274" s="1551"/>
      <c r="AH274" s="1558">
        <v>0</v>
      </c>
    </row>
    <row r="275" spans="1:34" s="1562" customFormat="1" ht="0.75" hidden="1" customHeight="1">
      <c r="A275" s="1706"/>
      <c r="B275" s="1706"/>
      <c r="C275" s="306" t="s">
        <v>1168</v>
      </c>
      <c r="D275" s="2418"/>
      <c r="E275" s="2207"/>
      <c r="F275" s="2356"/>
      <c r="G275" s="337"/>
      <c r="H275" s="1427"/>
      <c r="I275" s="588"/>
      <c r="J275" s="508"/>
      <c r="K275" s="1427"/>
      <c r="L275" s="152"/>
      <c r="M275" s="2161"/>
      <c r="N275" s="272"/>
      <c r="O275" s="1551"/>
      <c r="P275" s="1551"/>
      <c r="AH275" s="1558">
        <v>0</v>
      </c>
    </row>
    <row r="276" spans="1:34" s="1562" customFormat="1" ht="45" customHeight="1">
      <c r="A276" s="1706" t="s">
        <v>164</v>
      </c>
      <c r="B276" s="1706" t="s">
        <v>165</v>
      </c>
      <c r="C276" s="306"/>
      <c r="D276" s="2418"/>
      <c r="E276" s="2207"/>
      <c r="F276" s="2356" t="str">
        <f>INDEX(PT_DIFFERENTIATION_VTAR,MATCH(A276,PT_DIFFERENTIATION_VTAR_ID,0))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6" s="2393" t="str">
        <f>INDEX(PT_DIFFERENTIATION_NTAR,MATCH(B276,PT_DIFFERENTIATION_NTAR_ID,0))</f>
        <v>Тариф на тепловую энергию (мощность) для потребителей на территории Засечного сельсовета Пензенского района Пензенской области</v>
      </c>
      <c r="H276" s="1787"/>
      <c r="I276" s="1665">
        <v>46023</v>
      </c>
      <c r="J276" s="1699">
        <v>46387</v>
      </c>
      <c r="K276" s="1704">
        <v>398.37</v>
      </c>
      <c r="L276" s="1787" t="s">
        <v>312</v>
      </c>
      <c r="M276" s="2162"/>
      <c r="N276" s="272"/>
      <c r="O276" s="1551"/>
      <c r="P276" s="1551"/>
      <c r="AH276" s="1558">
        <v>0</v>
      </c>
    </row>
    <row r="277" spans="1:34" s="1562" customFormat="1" ht="18.75" customHeight="1">
      <c r="A277" s="1706"/>
      <c r="B277" s="1706"/>
      <c r="C277" s="306" t="s">
        <v>1158</v>
      </c>
      <c r="D277" s="2418"/>
      <c r="E277" s="2207"/>
      <c r="F277" s="2356"/>
      <c r="G277" s="2393"/>
      <c r="H277" s="1427"/>
      <c r="I277" s="588" t="s">
        <v>1157</v>
      </c>
      <c r="J277" s="508"/>
      <c r="K277" s="1427"/>
      <c r="L277" s="152"/>
      <c r="M277" s="1786"/>
      <c r="N277" s="272"/>
      <c r="O277" s="1551"/>
      <c r="P277" s="1551"/>
      <c r="AH277" s="1558">
        <v>0</v>
      </c>
    </row>
    <row r="278" spans="1:34" s="1562" customFormat="1" ht="0.75" customHeight="1">
      <c r="A278" s="1706"/>
      <c r="B278" s="1706"/>
      <c r="C278" s="306" t="s">
        <v>1168</v>
      </c>
      <c r="D278" s="2418"/>
      <c r="E278" s="2207"/>
      <c r="F278" s="2356"/>
      <c r="G278" s="337"/>
      <c r="H278" s="1427"/>
      <c r="I278" s="588"/>
      <c r="J278" s="508"/>
      <c r="K278" s="1427"/>
      <c r="L278" s="152"/>
      <c r="M278" s="279"/>
      <c r="N278" s="272"/>
      <c r="O278" s="1551"/>
      <c r="P278" s="1551"/>
      <c r="AH278" s="1558">
        <v>0</v>
      </c>
    </row>
    <row r="279" spans="1:34" s="1562" customFormat="1" ht="45" hidden="1" customHeight="1">
      <c r="A279" s="1706" t="s">
        <v>174</v>
      </c>
      <c r="B279" s="1706" t="s">
        <v>175</v>
      </c>
      <c r="C279" s="306"/>
      <c r="D279" s="2418"/>
      <c r="E279" s="2207"/>
      <c r="F279" s="2356" t="str">
        <f>INDEX(PT_DIFFERENTIATION_VTAR,MATCH(A279,PT_DIFFERENTIATION_VTAR_ID,0))</f>
        <v>Тарифы на теплоноситель, поставляемый теплоснабжающими организациями потребителям, другим теплоснабжающим организациям</v>
      </c>
      <c r="G279" s="2393"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1158</v>
      </c>
      <c r="D280" s="2418"/>
      <c r="E280" s="2207"/>
      <c r="F280" s="2356"/>
      <c r="G280" s="2393"/>
      <c r="H280" s="1427"/>
      <c r="I280" s="588" t="s">
        <v>1157</v>
      </c>
      <c r="J280" s="508"/>
      <c r="K280" s="1427"/>
      <c r="L280" s="152"/>
      <c r="M280" s="279"/>
      <c r="N280" s="272"/>
      <c r="O280" s="1551"/>
      <c r="P280" s="1551"/>
      <c r="AH280" s="1558">
        <v>0</v>
      </c>
    </row>
    <row r="281" spans="1:34" s="1562" customFormat="1" ht="0.75" hidden="1" customHeight="1">
      <c r="A281" s="1706"/>
      <c r="B281" s="1706"/>
      <c r="C281" s="306" t="s">
        <v>1168</v>
      </c>
      <c r="D281" s="2418"/>
      <c r="E281" s="2207"/>
      <c r="F281" s="2356"/>
      <c r="G281" s="337"/>
      <c r="H281" s="1427"/>
      <c r="I281" s="588"/>
      <c r="J281" s="508"/>
      <c r="K281" s="1427"/>
      <c r="L281" s="152"/>
      <c r="M281" s="279"/>
      <c r="N281" s="272"/>
      <c r="O281" s="1551"/>
      <c r="P281" s="1551"/>
      <c r="AH281" s="1558">
        <v>0</v>
      </c>
    </row>
    <row r="282" spans="1:34" s="1562" customFormat="1" ht="45" hidden="1" customHeight="1">
      <c r="A282" s="1706" t="s">
        <v>180</v>
      </c>
      <c r="B282" s="1706" t="s">
        <v>181</v>
      </c>
      <c r="C282" s="306"/>
      <c r="D282" s="2418"/>
      <c r="E282" s="2207"/>
      <c r="F282" s="2356" t="str">
        <f>INDEX(PT_DIFFERENTIATION_VTAR,MATCH(A282,PT_DIFFERENTIATION_VTAR_ID,0))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2" s="2393"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1158</v>
      </c>
      <c r="D283" s="2418"/>
      <c r="E283" s="2207"/>
      <c r="F283" s="2356"/>
      <c r="G283" s="2393"/>
      <c r="H283" s="1427"/>
      <c r="I283" s="588" t="s">
        <v>1157</v>
      </c>
      <c r="J283" s="508"/>
      <c r="K283" s="1427"/>
      <c r="L283" s="152"/>
      <c r="M283" s="279"/>
      <c r="N283" s="272"/>
      <c r="O283" s="1551"/>
      <c r="P283" s="1551"/>
      <c r="AH283" s="1558">
        <v>0</v>
      </c>
    </row>
    <row r="284" spans="1:34" s="1562" customFormat="1" ht="0.75" hidden="1" customHeight="1">
      <c r="A284" s="1706"/>
      <c r="B284" s="1706"/>
      <c r="C284" s="306" t="s">
        <v>1168</v>
      </c>
      <c r="D284" s="2418"/>
      <c r="E284" s="2207"/>
      <c r="F284" s="2356"/>
      <c r="G284" s="337"/>
      <c r="H284" s="1427"/>
      <c r="I284" s="588"/>
      <c r="J284" s="508"/>
      <c r="K284" s="1427"/>
      <c r="L284" s="152"/>
      <c r="M284" s="279"/>
      <c r="N284" s="272"/>
      <c r="O284" s="1551"/>
      <c r="P284" s="1551"/>
      <c r="AH284" s="1558">
        <v>0</v>
      </c>
    </row>
    <row r="285" spans="1:34" s="1562" customFormat="1" ht="18.75" hidden="1" customHeight="1">
      <c r="A285" s="1706" t="s">
        <v>186</v>
      </c>
      <c r="B285" s="1706" t="s">
        <v>187</v>
      </c>
      <c r="C285" s="306"/>
      <c r="D285" s="2418"/>
      <c r="E285" s="2207"/>
      <c r="F285" s="2356" t="str">
        <f>INDEX(PT_DIFFERENTIATION_VTAR,MATCH(A285,PT_DIFFERENTIATION_VTAR_ID,0))</f>
        <v>Тарифы на услуги по передаче тепловой энергии</v>
      </c>
      <c r="G285" s="2393"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1158</v>
      </c>
      <c r="D286" s="2418"/>
      <c r="E286" s="2207"/>
      <c r="F286" s="2356"/>
      <c r="G286" s="2393"/>
      <c r="H286" s="1427"/>
      <c r="I286" s="588" t="s">
        <v>1157</v>
      </c>
      <c r="J286" s="508"/>
      <c r="K286" s="1427"/>
      <c r="L286" s="152"/>
      <c r="M286" s="279"/>
      <c r="N286" s="272"/>
      <c r="O286" s="1551"/>
      <c r="P286" s="1551"/>
      <c r="AH286" s="1558">
        <v>0</v>
      </c>
    </row>
    <row r="287" spans="1:34" s="1562" customFormat="1" ht="0.75" hidden="1" customHeight="1">
      <c r="A287" s="1706"/>
      <c r="B287" s="1706"/>
      <c r="C287" s="306" t="s">
        <v>1168</v>
      </c>
      <c r="D287" s="2418"/>
      <c r="E287" s="2207"/>
      <c r="F287" s="2356"/>
      <c r="G287" s="337"/>
      <c r="H287" s="1427"/>
      <c r="I287" s="588"/>
      <c r="J287" s="508"/>
      <c r="K287" s="1427"/>
      <c r="L287" s="152"/>
      <c r="M287" s="279"/>
      <c r="N287" s="272"/>
      <c r="O287" s="1551"/>
      <c r="P287" s="1551"/>
      <c r="AH287" s="1558">
        <v>0</v>
      </c>
    </row>
    <row r="288" spans="1:34" s="1562" customFormat="1" ht="18.75" hidden="1" customHeight="1">
      <c r="A288" s="1706" t="s">
        <v>192</v>
      </c>
      <c r="B288" s="1706" t="s">
        <v>193</v>
      </c>
      <c r="C288" s="306"/>
      <c r="D288" s="2418"/>
      <c r="E288" s="2207"/>
      <c r="F288" s="2356" t="str">
        <f>INDEX(PT_DIFFERENTIATION_VTAR,MATCH(A288,PT_DIFFERENTIATION_VTAR_ID,0))</f>
        <v>Тарифы на услуги по передаче теплоносителя</v>
      </c>
      <c r="G288" s="2393"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1158</v>
      </c>
      <c r="D289" s="2418"/>
      <c r="E289" s="2207"/>
      <c r="F289" s="2356"/>
      <c r="G289" s="2393"/>
      <c r="H289" s="1427"/>
      <c r="I289" s="588" t="s">
        <v>1157</v>
      </c>
      <c r="J289" s="508"/>
      <c r="K289" s="1427"/>
      <c r="L289" s="152"/>
      <c r="M289" s="279"/>
      <c r="N289" s="272"/>
      <c r="O289" s="1551"/>
      <c r="P289" s="1551"/>
      <c r="AH289" s="1558">
        <v>0</v>
      </c>
    </row>
    <row r="290" spans="1:34" s="1562" customFormat="1" ht="0.75" hidden="1" customHeight="1">
      <c r="A290" s="1706"/>
      <c r="B290" s="1706"/>
      <c r="C290" s="306" t="s">
        <v>1168</v>
      </c>
      <c r="D290" s="2418"/>
      <c r="E290" s="2207"/>
      <c r="F290" s="2356"/>
      <c r="G290" s="337"/>
      <c r="H290" s="1427"/>
      <c r="I290" s="588"/>
      <c r="J290" s="508"/>
      <c r="K290" s="1427"/>
      <c r="L290" s="152"/>
      <c r="M290" s="279"/>
      <c r="N290" s="272"/>
      <c r="O290" s="1551"/>
      <c r="P290" s="1551"/>
      <c r="AH290" s="1558">
        <v>0</v>
      </c>
    </row>
    <row r="291" spans="1:34" s="1562" customFormat="1" ht="18.75" hidden="1" customHeight="1">
      <c r="A291" s="1706" t="s">
        <v>198</v>
      </c>
      <c r="B291" s="1706" t="s">
        <v>199</v>
      </c>
      <c r="C291" s="306"/>
      <c r="D291" s="2418"/>
      <c r="E291" s="2207"/>
      <c r="F291" s="2356" t="str">
        <f>INDEX(PT_DIFFERENTIATION_VTAR,MATCH(A291,PT_DIFFERENTIATION_VTAR_ID,0))</f>
        <v>Плата за услуги по поддержанию резервной тепловой мощности при отсутствии потребления тепловой энергии</v>
      </c>
      <c r="G291" s="2393"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1158</v>
      </c>
      <c r="D292" s="2418"/>
      <c r="E292" s="2207"/>
      <c r="F292" s="2356"/>
      <c r="G292" s="2393"/>
      <c r="H292" s="1427"/>
      <c r="I292" s="588" t="s">
        <v>1157</v>
      </c>
      <c r="J292" s="508"/>
      <c r="K292" s="1427"/>
      <c r="L292" s="152"/>
      <c r="M292" s="279"/>
      <c r="N292" s="272"/>
      <c r="O292" s="1551"/>
      <c r="P292" s="1551"/>
      <c r="AH292" s="1558">
        <v>0</v>
      </c>
    </row>
    <row r="293" spans="1:34" s="1562" customFormat="1" ht="0.75" hidden="1" customHeight="1">
      <c r="A293" s="1706"/>
      <c r="B293" s="1706"/>
      <c r="C293" s="306" t="s">
        <v>1168</v>
      </c>
      <c r="D293" s="2418"/>
      <c r="E293" s="2207"/>
      <c r="F293" s="2356"/>
      <c r="G293" s="337"/>
      <c r="H293" s="1427"/>
      <c r="I293" s="588"/>
      <c r="J293" s="508"/>
      <c r="K293" s="1427"/>
      <c r="L293" s="152"/>
      <c r="M293" s="279"/>
      <c r="N293" s="272"/>
      <c r="O293" s="1551"/>
      <c r="P293" s="1551"/>
      <c r="AH293" s="1558">
        <v>0</v>
      </c>
    </row>
    <row r="294" spans="1:34" s="1562" customFormat="1" ht="18.75" customHeight="1">
      <c r="A294" s="1706" t="s">
        <v>205</v>
      </c>
      <c r="B294" s="1706" t="s">
        <v>206</v>
      </c>
      <c r="C294" s="306"/>
      <c r="D294" s="2418"/>
      <c r="E294" s="2207"/>
      <c r="F294" s="2356" t="str">
        <f>INDEX(PT_DIFFERENTIATION_VTAR,MATCH(A294,PT_DIFFERENTIATION_VTAR_ID,0))</f>
        <v>Плата за подключение (технологическое присоединение) к системе теплоснабжения</v>
      </c>
      <c r="G294" s="2393" t="str">
        <f>INDEX(PT_DIFFERENTIATION_NTAR,MATCH(B294,PT_DIFFERENTIATION_NTAR_ID,0))</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H294" s="1787"/>
      <c r="I294" s="1665">
        <v>46023</v>
      </c>
      <c r="J294" s="1699">
        <v>46387</v>
      </c>
      <c r="K294" s="1704">
        <v>0</v>
      </c>
      <c r="L294" s="1787" t="s">
        <v>312</v>
      </c>
      <c r="M294" s="279"/>
      <c r="N294" s="272"/>
      <c r="O294" s="1551"/>
      <c r="P294" s="1551"/>
      <c r="AH294" s="1558">
        <v>0</v>
      </c>
    </row>
    <row r="295" spans="1:34" s="1562" customFormat="1" ht="18.75" customHeight="1">
      <c r="A295" s="1706"/>
      <c r="B295" s="1706"/>
      <c r="C295" s="306" t="s">
        <v>1158</v>
      </c>
      <c r="D295" s="2418"/>
      <c r="E295" s="2207"/>
      <c r="F295" s="2356"/>
      <c r="G295" s="2393"/>
      <c r="H295" s="1427"/>
      <c r="I295" s="588" t="s">
        <v>1157</v>
      </c>
      <c r="J295" s="508"/>
      <c r="K295" s="1427"/>
      <c r="L295" s="152"/>
      <c r="M295" s="279"/>
      <c r="N295" s="272"/>
      <c r="O295" s="1551"/>
      <c r="P295" s="1551"/>
      <c r="AH295" s="1558">
        <v>0</v>
      </c>
    </row>
    <row r="296" spans="1:34" s="1562" customFormat="1" ht="0.75" customHeight="1">
      <c r="A296" s="1706"/>
      <c r="B296" s="1706"/>
      <c r="C296" s="306" t="s">
        <v>1168</v>
      </c>
      <c r="D296" s="2418"/>
      <c r="E296" s="2207"/>
      <c r="F296" s="2356"/>
      <c r="G296" s="337"/>
      <c r="H296" s="1427"/>
      <c r="I296" s="588"/>
      <c r="J296" s="508"/>
      <c r="K296" s="1427"/>
      <c r="L296" s="152"/>
      <c r="M296" s="279"/>
      <c r="N296" s="272"/>
      <c r="O296" s="1551"/>
      <c r="P296" s="1551"/>
      <c r="AH296" s="1558">
        <v>0</v>
      </c>
    </row>
    <row r="297" spans="1:34" s="1562" customFormat="1" ht="18.75" hidden="1" customHeight="1">
      <c r="A297" s="1706" t="s">
        <v>211</v>
      </c>
      <c r="B297" s="1706" t="s">
        <v>212</v>
      </c>
      <c r="C297" s="306"/>
      <c r="D297" s="2418"/>
      <c r="E297" s="2207"/>
      <c r="F297" s="2356" t="str">
        <f>INDEX(PT_DIFFERENTIATION_VTAR,MATCH(A297,PT_DIFFERENTIATION_VTAR_ID,0))</f>
        <v>Плата за подключение (технологическое присоединение) к системе теплоснабжения (индивидуальная)</v>
      </c>
      <c r="G297" s="2393" t="str">
        <f>INDEX(PT_DIFFERENTIATION_NTAR,MATCH(B297,PT_DIFFERENTIATION_NTAR_ID,0))</f>
        <v/>
      </c>
      <c r="H297" s="1911"/>
      <c r="I297" s="1665"/>
      <c r="J297" s="1699"/>
      <c r="K297" s="1704"/>
      <c r="L297" s="1911" t="s">
        <v>312</v>
      </c>
      <c r="M297" s="279"/>
      <c r="N297" s="272"/>
      <c r="O297" s="1551"/>
      <c r="P297" s="1551"/>
      <c r="AH297" s="1558">
        <v>0</v>
      </c>
    </row>
    <row r="298" spans="1:34" s="1562" customFormat="1" ht="18.75" hidden="1" customHeight="1">
      <c r="A298" s="1706"/>
      <c r="B298" s="1706"/>
      <c r="C298" s="306" t="s">
        <v>1158</v>
      </c>
      <c r="D298" s="2418"/>
      <c r="E298" s="2207"/>
      <c r="F298" s="2356"/>
      <c r="G298" s="2393"/>
      <c r="H298" s="1427"/>
      <c r="I298" s="588" t="s">
        <v>1157</v>
      </c>
      <c r="J298" s="508"/>
      <c r="K298" s="1427"/>
      <c r="L298" s="152"/>
      <c r="M298" s="279"/>
      <c r="N298" s="272"/>
      <c r="O298" s="1551"/>
      <c r="P298" s="1551"/>
      <c r="AH298" s="1558">
        <v>0</v>
      </c>
    </row>
    <row r="299" spans="1:34" s="1562" customFormat="1" ht="0.75" hidden="1" customHeight="1">
      <c r="A299" s="1706"/>
      <c r="B299" s="1706"/>
      <c r="C299" s="306" t="s">
        <v>1168</v>
      </c>
      <c r="D299" s="2418"/>
      <c r="E299" s="2207"/>
      <c r="F299" s="2356"/>
      <c r="G299" s="337"/>
      <c r="H299" s="1427"/>
      <c r="I299" s="588"/>
      <c r="J299" s="508"/>
      <c r="K299" s="1427"/>
      <c r="L299" s="152"/>
      <c r="M299" s="279"/>
      <c r="N299" s="272"/>
      <c r="O299" s="1551"/>
      <c r="P299" s="1551"/>
      <c r="AH299" s="1558">
        <v>0</v>
      </c>
    </row>
    <row r="300" spans="1:34" s="1562" customFormat="1" ht="18.75" hidden="1" customHeight="1">
      <c r="A300" s="1706" t="s">
        <v>231</v>
      </c>
      <c r="B300" s="1706" t="s">
        <v>232</v>
      </c>
      <c r="C300" s="306"/>
      <c r="D300" s="2418"/>
      <c r="E300" s="2207"/>
      <c r="F300" s="2356" t="str">
        <f>INDEX(PT_DIFFERENTIATION_VTAR,MATCH(A300,PT_DIFFERENTIATION_VTAR_ID,0))</f>
        <v>Тариф на питьевую воду (питьевое водоснабжение)</v>
      </c>
      <c r="G300" s="2393"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1158</v>
      </c>
      <c r="D301" s="2418"/>
      <c r="E301" s="2207"/>
      <c r="F301" s="2356"/>
      <c r="G301" s="2393"/>
      <c r="H301" s="1427"/>
      <c r="I301" s="588" t="s">
        <v>1157</v>
      </c>
      <c r="J301" s="508"/>
      <c r="K301" s="1427"/>
      <c r="L301" s="152"/>
      <c r="M301" s="279"/>
      <c r="N301" s="272"/>
      <c r="O301" s="1551"/>
      <c r="P301" s="1551"/>
      <c r="AH301" s="1558">
        <v>0</v>
      </c>
    </row>
    <row r="302" spans="1:34" s="1562" customFormat="1" ht="0.75" hidden="1" customHeight="1">
      <c r="A302" s="1706"/>
      <c r="B302" s="1706"/>
      <c r="C302" s="306" t="s">
        <v>1168</v>
      </c>
      <c r="D302" s="2418"/>
      <c r="E302" s="2207"/>
      <c r="F302" s="2356"/>
      <c r="G302" s="337"/>
      <c r="H302" s="1427"/>
      <c r="I302" s="588"/>
      <c r="J302" s="508"/>
      <c r="K302" s="1427"/>
      <c r="L302" s="152"/>
      <c r="M302" s="279"/>
      <c r="N302" s="272"/>
      <c r="O302" s="1551"/>
      <c r="P302" s="1551"/>
      <c r="AH302" s="1558">
        <v>0</v>
      </c>
    </row>
    <row r="303" spans="1:34" s="1562" customFormat="1" ht="18.75" hidden="1" customHeight="1">
      <c r="A303" s="1706" t="s">
        <v>236</v>
      </c>
      <c r="B303" s="1706" t="s">
        <v>237</v>
      </c>
      <c r="C303" s="306"/>
      <c r="D303" s="2418"/>
      <c r="E303" s="2207"/>
      <c r="F303" s="2356" t="str">
        <f>INDEX(PT_DIFFERENTIATION_VTAR,MATCH(A303,PT_DIFFERENTIATION_VTAR_ID,0))</f>
        <v>Тариф на техническую воду</v>
      </c>
      <c r="G303" s="2393"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1158</v>
      </c>
      <c r="D304" s="2418"/>
      <c r="E304" s="2207"/>
      <c r="F304" s="2356"/>
      <c r="G304" s="2393"/>
      <c r="H304" s="1427"/>
      <c r="I304" s="588" t="s">
        <v>1157</v>
      </c>
      <c r="J304" s="508"/>
      <c r="K304" s="1427"/>
      <c r="L304" s="152"/>
      <c r="M304" s="279"/>
      <c r="N304" s="272"/>
      <c r="O304" s="1551"/>
      <c r="P304" s="1551"/>
      <c r="AH304" s="1558">
        <v>0</v>
      </c>
    </row>
    <row r="305" spans="1:34" s="1562" customFormat="1" ht="0.75" hidden="1" customHeight="1">
      <c r="A305" s="1706"/>
      <c r="B305" s="1706"/>
      <c r="C305" s="306" t="s">
        <v>1168</v>
      </c>
      <c r="D305" s="2418"/>
      <c r="E305" s="2207"/>
      <c r="F305" s="2356"/>
      <c r="G305" s="337"/>
      <c r="H305" s="1427"/>
      <c r="I305" s="588"/>
      <c r="J305" s="508"/>
      <c r="K305" s="1427"/>
      <c r="L305" s="152"/>
      <c r="M305" s="279"/>
      <c r="N305" s="272"/>
      <c r="O305" s="1551"/>
      <c r="P305" s="1551"/>
      <c r="AH305" s="1558">
        <v>0</v>
      </c>
    </row>
    <row r="306" spans="1:34" s="1562" customFormat="1" ht="18.75" hidden="1" customHeight="1">
      <c r="A306" s="1706" t="s">
        <v>241</v>
      </c>
      <c r="B306" s="1706" t="s">
        <v>242</v>
      </c>
      <c r="C306" s="306"/>
      <c r="D306" s="2418"/>
      <c r="E306" s="2207"/>
      <c r="F306" s="2356" t="str">
        <f>INDEX(PT_DIFFERENTIATION_VTAR,MATCH(A306,PT_DIFFERENTIATION_VTAR_ID,0))</f>
        <v>Тариф на транспортировку воды</v>
      </c>
      <c r="G306" s="2393"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1158</v>
      </c>
      <c r="D307" s="2418"/>
      <c r="E307" s="2207"/>
      <c r="F307" s="2356"/>
      <c r="G307" s="2393"/>
      <c r="H307" s="1427"/>
      <c r="I307" s="588" t="s">
        <v>1157</v>
      </c>
      <c r="J307" s="508"/>
      <c r="K307" s="1427"/>
      <c r="L307" s="152"/>
      <c r="M307" s="279"/>
      <c r="N307" s="272"/>
      <c r="O307" s="1551"/>
      <c r="P307" s="1551"/>
      <c r="AH307" s="1558">
        <v>0</v>
      </c>
    </row>
    <row r="308" spans="1:34" s="1562" customFormat="1" ht="0.75" hidden="1" customHeight="1">
      <c r="A308" s="1706"/>
      <c r="B308" s="1706"/>
      <c r="C308" s="306" t="s">
        <v>1168</v>
      </c>
      <c r="D308" s="2418"/>
      <c r="E308" s="2207"/>
      <c r="F308" s="2356"/>
      <c r="G308" s="337"/>
      <c r="H308" s="1427"/>
      <c r="I308" s="588"/>
      <c r="J308" s="508"/>
      <c r="K308" s="1427"/>
      <c r="L308" s="152"/>
      <c r="M308" s="279"/>
      <c r="N308" s="272"/>
      <c r="O308" s="1551"/>
      <c r="P308" s="1551"/>
      <c r="AH308" s="1558">
        <v>0</v>
      </c>
    </row>
    <row r="309" spans="1:34" s="1562" customFormat="1" ht="18.75" hidden="1" customHeight="1">
      <c r="A309" s="1706" t="s">
        <v>246</v>
      </c>
      <c r="B309" s="1706" t="s">
        <v>247</v>
      </c>
      <c r="C309" s="306"/>
      <c r="D309" s="2418"/>
      <c r="E309" s="2207"/>
      <c r="F309" s="2356" t="str">
        <f>INDEX(PT_DIFFERENTIATION_VTAR,MATCH(A309,PT_DIFFERENTIATION_VTAR_ID,0))</f>
        <v>Тариф на подвоз воды</v>
      </c>
      <c r="G309" s="2393"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1158</v>
      </c>
      <c r="D310" s="2418"/>
      <c r="E310" s="2207"/>
      <c r="F310" s="2356"/>
      <c r="G310" s="2393"/>
      <c r="H310" s="1427"/>
      <c r="I310" s="588" t="s">
        <v>1157</v>
      </c>
      <c r="J310" s="508"/>
      <c r="K310" s="1427"/>
      <c r="L310" s="152"/>
      <c r="M310" s="279"/>
      <c r="N310" s="272"/>
      <c r="O310" s="1551"/>
      <c r="P310" s="1551"/>
      <c r="AH310" s="1558">
        <v>0</v>
      </c>
    </row>
    <row r="311" spans="1:34" s="1562" customFormat="1" ht="0.75" hidden="1" customHeight="1">
      <c r="A311" s="1706"/>
      <c r="B311" s="1706"/>
      <c r="C311" s="306" t="s">
        <v>1168</v>
      </c>
      <c r="D311" s="2418"/>
      <c r="E311" s="2207"/>
      <c r="F311" s="2356"/>
      <c r="G311" s="337"/>
      <c r="H311" s="1427"/>
      <c r="I311" s="588"/>
      <c r="J311" s="508"/>
      <c r="K311" s="1427"/>
      <c r="L311" s="152"/>
      <c r="M311" s="279"/>
      <c r="N311" s="272"/>
      <c r="O311" s="1551"/>
      <c r="P311" s="1551"/>
      <c r="AH311" s="1558">
        <v>0</v>
      </c>
    </row>
    <row r="312" spans="1:34" s="1562" customFormat="1" ht="18.75" hidden="1" customHeight="1">
      <c r="A312" s="1706" t="s">
        <v>251</v>
      </c>
      <c r="B312" s="1706" t="s">
        <v>252</v>
      </c>
      <c r="C312" s="306"/>
      <c r="D312" s="2418"/>
      <c r="E312" s="2207"/>
      <c r="F312" s="2356" t="str">
        <f>INDEX(PT_DIFFERENTIATION_VTAR,MATCH(A312,PT_DIFFERENTIATION_VTAR_ID,0))</f>
        <v>Тариф на подключение (технологическое присоединение) к централизованной системе холодного водоснабжения</v>
      </c>
      <c r="G312" s="2393"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1158</v>
      </c>
      <c r="D313" s="2418"/>
      <c r="E313" s="2207"/>
      <c r="F313" s="2356"/>
      <c r="G313" s="2393"/>
      <c r="H313" s="1427"/>
      <c r="I313" s="588" t="s">
        <v>1157</v>
      </c>
      <c r="J313" s="508"/>
      <c r="K313" s="1427"/>
      <c r="L313" s="152"/>
      <c r="M313" s="279"/>
      <c r="N313" s="272"/>
      <c r="O313" s="1551"/>
      <c r="P313" s="1551"/>
      <c r="AH313" s="1558">
        <v>0</v>
      </c>
    </row>
    <row r="314" spans="1:34" s="1562" customFormat="1" ht="0.75" hidden="1" customHeight="1">
      <c r="A314" s="1706"/>
      <c r="B314" s="1706"/>
      <c r="C314" s="306" t="s">
        <v>1168</v>
      </c>
      <c r="D314" s="2418"/>
      <c r="E314" s="2207"/>
      <c r="F314" s="2356"/>
      <c r="G314" s="337"/>
      <c r="H314" s="1427"/>
      <c r="I314" s="588"/>
      <c r="J314" s="508"/>
      <c r="K314" s="1427"/>
      <c r="L314" s="152"/>
      <c r="M314" s="279"/>
      <c r="N314" s="272"/>
      <c r="O314" s="1551"/>
      <c r="P314" s="1551"/>
      <c r="AH314" s="1558">
        <v>0</v>
      </c>
    </row>
    <row r="315" spans="1:34" s="1562" customFormat="1" ht="18.75" hidden="1" customHeight="1">
      <c r="A315" s="1706" t="s">
        <v>256</v>
      </c>
      <c r="B315" s="1706" t="s">
        <v>257</v>
      </c>
      <c r="C315" s="306"/>
      <c r="D315" s="2418"/>
      <c r="E315" s="2207"/>
      <c r="F315" s="2356" t="str">
        <f>INDEX(PT_DIFFERENTIATION_VTAR,MATCH(A315,PT_DIFFERENTIATION_VTAR_ID,0))</f>
        <v>Тариф на горячую воду (горячее водоснабжение)</v>
      </c>
      <c r="G315" s="2393"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1158</v>
      </c>
      <c r="D316" s="2418"/>
      <c r="E316" s="2207"/>
      <c r="F316" s="2356"/>
      <c r="G316" s="2393"/>
      <c r="H316" s="1427"/>
      <c r="I316" s="588" t="s">
        <v>1157</v>
      </c>
      <c r="J316" s="508"/>
      <c r="K316" s="1427"/>
      <c r="L316" s="152"/>
      <c r="M316" s="279"/>
      <c r="N316" s="272"/>
      <c r="O316" s="1551"/>
      <c r="P316" s="1551"/>
      <c r="AH316" s="1558">
        <v>0</v>
      </c>
    </row>
    <row r="317" spans="1:34" s="1562" customFormat="1" ht="0.75" hidden="1" customHeight="1">
      <c r="A317" s="1706"/>
      <c r="B317" s="1706"/>
      <c r="C317" s="306" t="s">
        <v>1168</v>
      </c>
      <c r="D317" s="2418"/>
      <c r="E317" s="2207"/>
      <c r="F317" s="2356"/>
      <c r="G317" s="337"/>
      <c r="H317" s="1427"/>
      <c r="I317" s="588"/>
      <c r="J317" s="508"/>
      <c r="K317" s="1427"/>
      <c r="L317" s="152"/>
      <c r="M317" s="279"/>
      <c r="N317" s="272"/>
      <c r="O317" s="1551"/>
      <c r="P317" s="1551"/>
      <c r="AH317" s="1558">
        <v>0</v>
      </c>
    </row>
    <row r="318" spans="1:34" s="1562" customFormat="1" ht="18.75" hidden="1" customHeight="1">
      <c r="A318" s="1706" t="s">
        <v>261</v>
      </c>
      <c r="B318" s="1706" t="s">
        <v>262</v>
      </c>
      <c r="C318" s="306"/>
      <c r="D318" s="2418"/>
      <c r="E318" s="2207"/>
      <c r="F318" s="2356" t="str">
        <f>INDEX(PT_DIFFERENTIATION_VTAR,MATCH(A318,PT_DIFFERENTIATION_VTAR_ID,0))</f>
        <v>Тариф на транспортировку горячей воды</v>
      </c>
      <c r="G318" s="2393"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1158</v>
      </c>
      <c r="D319" s="2418"/>
      <c r="E319" s="2207"/>
      <c r="F319" s="2356"/>
      <c r="G319" s="2393"/>
      <c r="H319" s="1427"/>
      <c r="I319" s="588" t="s">
        <v>1157</v>
      </c>
      <c r="J319" s="508"/>
      <c r="K319" s="1427"/>
      <c r="L319" s="152"/>
      <c r="M319" s="279"/>
      <c r="N319" s="272"/>
      <c r="O319" s="1551"/>
      <c r="P319" s="1551"/>
      <c r="AH319" s="1558">
        <v>0</v>
      </c>
    </row>
    <row r="320" spans="1:34" s="1562" customFormat="1" ht="0.75" hidden="1" customHeight="1">
      <c r="A320" s="1706"/>
      <c r="B320" s="1706"/>
      <c r="C320" s="306" t="s">
        <v>1168</v>
      </c>
      <c r="D320" s="2418"/>
      <c r="E320" s="2207"/>
      <c r="F320" s="2356"/>
      <c r="G320" s="337"/>
      <c r="H320" s="1427"/>
      <c r="I320" s="588"/>
      <c r="J320" s="508"/>
      <c r="K320" s="1427"/>
      <c r="L320" s="152"/>
      <c r="M320" s="279"/>
      <c r="N320" s="272"/>
      <c r="O320" s="1551"/>
      <c r="P320" s="1551"/>
      <c r="AH320" s="1558">
        <v>0</v>
      </c>
    </row>
    <row r="321" spans="1:34" s="1562" customFormat="1" ht="18.75" hidden="1" customHeight="1">
      <c r="A321" s="1706" t="s">
        <v>266</v>
      </c>
      <c r="B321" s="1706" t="s">
        <v>267</v>
      </c>
      <c r="C321" s="306"/>
      <c r="D321" s="2418"/>
      <c r="E321" s="2207"/>
      <c r="F321" s="2356" t="str">
        <f>INDEX(PT_DIFFERENTIATION_VTAR,MATCH(A321,PT_DIFFERENTIATION_VTAR_ID,0))</f>
        <v>Тариф на подключение (технологическое присоединение) к централизованной системе горячего водоснабжения</v>
      </c>
      <c r="G321" s="2393"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1158</v>
      </c>
      <c r="D322" s="2418"/>
      <c r="E322" s="2207"/>
      <c r="F322" s="2356"/>
      <c r="G322" s="2393"/>
      <c r="H322" s="1427"/>
      <c r="I322" s="588" t="s">
        <v>1157</v>
      </c>
      <c r="J322" s="508"/>
      <c r="K322" s="1427"/>
      <c r="L322" s="152"/>
      <c r="M322" s="279"/>
      <c r="N322" s="272"/>
      <c r="O322" s="1551"/>
      <c r="P322" s="1551"/>
      <c r="AH322" s="1558">
        <v>0</v>
      </c>
    </row>
    <row r="323" spans="1:34" s="1562" customFormat="1" ht="0.75" hidden="1" customHeight="1">
      <c r="A323" s="1706"/>
      <c r="B323" s="1706"/>
      <c r="C323" s="306" t="s">
        <v>1168</v>
      </c>
      <c r="D323" s="2418"/>
      <c r="E323" s="2207"/>
      <c r="F323" s="2356"/>
      <c r="G323" s="337"/>
      <c r="H323" s="1427"/>
      <c r="I323" s="588"/>
      <c r="J323" s="508"/>
      <c r="K323" s="1427"/>
      <c r="L323" s="152"/>
      <c r="M323" s="279"/>
      <c r="N323" s="272"/>
      <c r="O323" s="1551"/>
      <c r="P323" s="1551"/>
      <c r="AH323" s="1558">
        <v>0</v>
      </c>
    </row>
    <row r="324" spans="1:34" s="1562" customFormat="1" ht="18.75" hidden="1" customHeight="1">
      <c r="A324" s="1706" t="s">
        <v>271</v>
      </c>
      <c r="B324" s="1706" t="s">
        <v>272</v>
      </c>
      <c r="C324" s="306"/>
      <c r="D324" s="2418"/>
      <c r="E324" s="2207"/>
      <c r="F324" s="2356" t="str">
        <f>INDEX(PT_DIFFERENTIATION_VTAR,MATCH(A324,PT_DIFFERENTIATION_VTAR_ID,0))</f>
        <v>Тариф на водоотведение</v>
      </c>
      <c r="G324" s="2393"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1158</v>
      </c>
      <c r="D325" s="2418"/>
      <c r="E325" s="2207"/>
      <c r="F325" s="2356"/>
      <c r="G325" s="2393"/>
      <c r="H325" s="1427"/>
      <c r="I325" s="588" t="s">
        <v>1157</v>
      </c>
      <c r="J325" s="508"/>
      <c r="K325" s="1427"/>
      <c r="L325" s="152"/>
      <c r="M325" s="279"/>
      <c r="N325" s="272"/>
      <c r="O325" s="1551"/>
      <c r="P325" s="1551"/>
      <c r="AH325" s="1558">
        <v>0</v>
      </c>
    </row>
    <row r="326" spans="1:34" s="1562" customFormat="1" ht="0.75" hidden="1" customHeight="1">
      <c r="A326" s="1706"/>
      <c r="B326" s="1706"/>
      <c r="C326" s="306" t="s">
        <v>1168</v>
      </c>
      <c r="D326" s="2418"/>
      <c r="E326" s="2207"/>
      <c r="F326" s="2356"/>
      <c r="G326" s="337"/>
      <c r="H326" s="1427"/>
      <c r="I326" s="588"/>
      <c r="J326" s="508"/>
      <c r="K326" s="1427"/>
      <c r="L326" s="152"/>
      <c r="M326" s="279"/>
      <c r="N326" s="272"/>
      <c r="O326" s="1551"/>
      <c r="P326" s="1551"/>
      <c r="AH326" s="1558">
        <v>0</v>
      </c>
    </row>
    <row r="327" spans="1:34" s="1562" customFormat="1" ht="18.75" hidden="1" customHeight="1">
      <c r="A327" s="1706" t="s">
        <v>276</v>
      </c>
      <c r="B327" s="1706" t="s">
        <v>277</v>
      </c>
      <c r="C327" s="306"/>
      <c r="D327" s="2418"/>
      <c r="E327" s="2207"/>
      <c r="F327" s="2356" t="str">
        <f>INDEX(PT_DIFFERENTIATION_VTAR,MATCH(A327,PT_DIFFERENTIATION_VTAR_ID,0))</f>
        <v>Тариф на транспортировку сточных вод</v>
      </c>
      <c r="G327" s="2393"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1158</v>
      </c>
      <c r="D328" s="2418"/>
      <c r="E328" s="2207"/>
      <c r="F328" s="2356"/>
      <c r="G328" s="2393"/>
      <c r="H328" s="1427"/>
      <c r="I328" s="588" t="s">
        <v>1157</v>
      </c>
      <c r="J328" s="508"/>
      <c r="K328" s="1427"/>
      <c r="L328" s="152"/>
      <c r="M328" s="279"/>
      <c r="N328" s="272"/>
      <c r="O328" s="1551"/>
      <c r="P328" s="1551"/>
      <c r="AH328" s="1558">
        <v>0</v>
      </c>
    </row>
    <row r="329" spans="1:34" s="1562" customFormat="1" ht="0.75" hidden="1" customHeight="1">
      <c r="A329" s="1706"/>
      <c r="B329" s="1706"/>
      <c r="C329" s="306" t="s">
        <v>1168</v>
      </c>
      <c r="D329" s="2418"/>
      <c r="E329" s="2207"/>
      <c r="F329" s="2356"/>
      <c r="G329" s="337"/>
      <c r="H329" s="1427"/>
      <c r="I329" s="588"/>
      <c r="J329" s="508"/>
      <c r="K329" s="1427"/>
      <c r="L329" s="152"/>
      <c r="M329" s="279"/>
      <c r="N329" s="272"/>
      <c r="O329" s="1551"/>
      <c r="P329" s="1551"/>
      <c r="AH329" s="1558">
        <v>0</v>
      </c>
    </row>
    <row r="330" spans="1:34" s="1562" customFormat="1" ht="18.75" hidden="1" customHeight="1">
      <c r="A330" s="1706" t="s">
        <v>281</v>
      </c>
      <c r="B330" s="1706" t="s">
        <v>282</v>
      </c>
      <c r="C330" s="306"/>
      <c r="D330" s="2418"/>
      <c r="E330" s="2207"/>
      <c r="F330" s="2356" t="str">
        <f>INDEX(PT_DIFFERENTIATION_VTAR,MATCH(A330,PT_DIFFERENTIATION_VTAR_ID,0))</f>
        <v>Тариф на подключение (технологическое присоединение) к централизованной системе водоотведения</v>
      </c>
      <c r="G330" s="2393" t="str">
        <f>INDEX(PT_DIFFERENTIATION_NTAR,MATCH(B330,PT_DIFFERENTIATION_NTAR_ID,0))</f>
        <v/>
      </c>
      <c r="H330" s="1787"/>
      <c r="I330" s="1665"/>
      <c r="J330" s="1699"/>
      <c r="K330" s="1704"/>
      <c r="L330" s="1787" t="s">
        <v>312</v>
      </c>
      <c r="M330" s="279"/>
      <c r="N330" s="272"/>
      <c r="O330" s="1551"/>
      <c r="P330" s="1551"/>
      <c r="AH330" s="1558">
        <v>0</v>
      </c>
    </row>
    <row r="331" spans="1:34" s="1562" customFormat="1" ht="18.75" hidden="1" customHeight="1">
      <c r="A331" s="1706"/>
      <c r="B331" s="1706"/>
      <c r="C331" s="306" t="s">
        <v>1158</v>
      </c>
      <c r="D331" s="2418"/>
      <c r="E331" s="2207"/>
      <c r="F331" s="2356"/>
      <c r="G331" s="2393"/>
      <c r="H331" s="1427"/>
      <c r="I331" s="588" t="s">
        <v>1157</v>
      </c>
      <c r="J331" s="508"/>
      <c r="K331" s="1427"/>
      <c r="L331" s="152"/>
      <c r="M331" s="279"/>
      <c r="N331" s="272"/>
      <c r="O331" s="1551"/>
      <c r="P331" s="1551"/>
      <c r="AH331" s="1558">
        <v>0</v>
      </c>
    </row>
    <row r="332" spans="1:34" s="1562" customFormat="1" ht="1.1499999999999999" customHeight="1">
      <c r="A332" s="1706"/>
      <c r="B332" s="1706"/>
      <c r="C332" s="306" t="s">
        <v>1168</v>
      </c>
      <c r="D332" s="2418"/>
      <c r="E332" s="2207"/>
      <c r="F332" s="2356"/>
      <c r="G332" s="337"/>
      <c r="H332" s="1427"/>
      <c r="I332" s="588"/>
      <c r="J332" s="508"/>
      <c r="K332" s="1427"/>
      <c r="L332" s="152"/>
      <c r="M332" s="279"/>
      <c r="N332" s="272"/>
      <c r="O332" s="1551"/>
      <c r="P332" s="1551"/>
      <c r="AH332" s="1558">
        <v>1</v>
      </c>
    </row>
    <row r="333" spans="1:34" s="1748" customFormat="1" ht="3" customHeight="1">
      <c r="A333" s="1706"/>
      <c r="B333" s="1706"/>
      <c r="C333" s="1707"/>
      <c r="E333" s="339"/>
      <c r="F333" s="339"/>
      <c r="G333" s="339"/>
      <c r="H333" s="339"/>
      <c r="I333" s="339"/>
      <c r="J333" s="339"/>
      <c r="K333" s="339"/>
      <c r="L333" s="339"/>
      <c r="M333" s="339"/>
      <c r="O333" s="134"/>
      <c r="P333" s="134"/>
      <c r="AH333" s="79">
        <v>3</v>
      </c>
    </row>
    <row r="334" spans="1:34" ht="26.25" customHeight="1">
      <c r="E334" s="140"/>
      <c r="F334" s="2250"/>
      <c r="G334" s="2250"/>
      <c r="H334" s="2250"/>
      <c r="I334" s="2250"/>
      <c r="J334" s="2250"/>
      <c r="K334" s="2250"/>
      <c r="L334" s="2250"/>
      <c r="M334" s="2250"/>
      <c r="AH334" s="311">
        <v>25</v>
      </c>
    </row>
    <row r="335" spans="1:34" ht="14.25" hidden="1" customHeight="1">
      <c r="A335" s="1705" t="s">
        <v>82</v>
      </c>
      <c r="B335" s="1705">
        <v>0</v>
      </c>
      <c r="C335" s="306">
        <v>0</v>
      </c>
      <c r="D335" s="282">
        <v>3</v>
      </c>
      <c r="E335" s="311">
        <v>6</v>
      </c>
      <c r="F335" s="311">
        <v>46</v>
      </c>
      <c r="G335" s="311">
        <v>35</v>
      </c>
      <c r="H335" s="311">
        <v>3</v>
      </c>
      <c r="I335" s="311">
        <v>11</v>
      </c>
      <c r="J335" s="311">
        <v>11</v>
      </c>
      <c r="K335" s="311">
        <v>35</v>
      </c>
      <c r="L335" s="311">
        <v>35</v>
      </c>
      <c r="M335" s="311">
        <v>84</v>
      </c>
      <c r="N335" s="311">
        <v>10</v>
      </c>
      <c r="O335" s="287">
        <v>10</v>
      </c>
      <c r="P335" s="287">
        <v>10</v>
      </c>
      <c r="Q335" s="311">
        <v>10</v>
      </c>
      <c r="R335" s="311">
        <v>10</v>
      </c>
      <c r="S335" s="311">
        <v>10</v>
      </c>
      <c r="T335" s="311">
        <v>10</v>
      </c>
      <c r="U335" s="311">
        <v>10</v>
      </c>
      <c r="V335" s="311">
        <v>10</v>
      </c>
      <c r="W335" s="311">
        <v>10</v>
      </c>
      <c r="X335" s="311">
        <v>10</v>
      </c>
      <c r="Y335" s="311">
        <v>10</v>
      </c>
      <c r="Z335" s="311">
        <v>10</v>
      </c>
      <c r="AA335" s="311">
        <v>10</v>
      </c>
      <c r="AB335" s="311">
        <v>10</v>
      </c>
      <c r="AC335" s="311">
        <v>10</v>
      </c>
      <c r="AD335" s="311">
        <v>10</v>
      </c>
      <c r="AE335" s="311">
        <v>10</v>
      </c>
      <c r="AF335" s="311">
        <v>10</v>
      </c>
      <c r="AG335" s="311">
        <v>10</v>
      </c>
      <c r="AH335" s="311">
        <v>14</v>
      </c>
    </row>
  </sheetData>
  <sheetProtection formatColumns="0" formatRows="0" insertRows="0" deleteColumns="0" deleteRows="0" sort="0" autoFilter="0"/>
  <mergeCells count="428">
    <mergeCell ref="G107:G108"/>
    <mergeCell ref="G110:G111"/>
    <mergeCell ref="G116:G117"/>
    <mergeCell ref="G119:G120"/>
    <mergeCell ref="G233:G234"/>
    <mergeCell ref="G239:G240"/>
    <mergeCell ref="G242:G243"/>
    <mergeCell ref="G245:G246"/>
    <mergeCell ref="G202:G203"/>
    <mergeCell ref="G208:G209"/>
    <mergeCell ref="G212:G213"/>
    <mergeCell ref="G215:G216"/>
    <mergeCell ref="G218:G219"/>
    <mergeCell ref="G169:G170"/>
    <mergeCell ref="G172:G173"/>
    <mergeCell ref="G178:G179"/>
    <mergeCell ref="G221:G222"/>
    <mergeCell ref="G224:G225"/>
    <mergeCell ref="G227:G228"/>
    <mergeCell ref="G184:G185"/>
    <mergeCell ref="G187:G188"/>
    <mergeCell ref="G190:G191"/>
    <mergeCell ref="G193:G194"/>
    <mergeCell ref="G166:G167"/>
    <mergeCell ref="G318:G319"/>
    <mergeCell ref="G321:G322"/>
    <mergeCell ref="G324:G325"/>
    <mergeCell ref="G327:G328"/>
    <mergeCell ref="G309:G310"/>
    <mergeCell ref="G312:G313"/>
    <mergeCell ref="G315:G316"/>
    <mergeCell ref="G303:G304"/>
    <mergeCell ref="G260:G261"/>
    <mergeCell ref="G263:G264"/>
    <mergeCell ref="G266:G267"/>
    <mergeCell ref="G269:G270"/>
    <mergeCell ref="G273:G274"/>
    <mergeCell ref="G279:G280"/>
    <mergeCell ref="G282:G283"/>
    <mergeCell ref="G285:G286"/>
    <mergeCell ref="G288:G289"/>
    <mergeCell ref="G291:G292"/>
    <mergeCell ref="G294:G295"/>
    <mergeCell ref="G300:G301"/>
    <mergeCell ref="G297:G298"/>
    <mergeCell ref="G61:G62"/>
    <mergeCell ref="G64:G65"/>
    <mergeCell ref="G67:G68"/>
    <mergeCell ref="G70:G71"/>
    <mergeCell ref="G73:G74"/>
    <mergeCell ref="G76:G77"/>
    <mergeCell ref="G79:G80"/>
    <mergeCell ref="G82:G83"/>
    <mergeCell ref="G88:G89"/>
    <mergeCell ref="F330:F332"/>
    <mergeCell ref="M273:M276"/>
    <mergeCell ref="D324:D326"/>
    <mergeCell ref="E324:E326"/>
    <mergeCell ref="F324:F326"/>
    <mergeCell ref="D327:D329"/>
    <mergeCell ref="E327:E329"/>
    <mergeCell ref="F327:F329"/>
    <mergeCell ref="D318:D320"/>
    <mergeCell ref="E318:E320"/>
    <mergeCell ref="F318:F320"/>
    <mergeCell ref="D321:D323"/>
    <mergeCell ref="E321:E323"/>
    <mergeCell ref="F321:F323"/>
    <mergeCell ref="D312:D314"/>
    <mergeCell ref="E312:E314"/>
    <mergeCell ref="F312:F314"/>
    <mergeCell ref="D315:D317"/>
    <mergeCell ref="E315:E317"/>
    <mergeCell ref="F315:F317"/>
    <mergeCell ref="D306:D308"/>
    <mergeCell ref="E306:E308"/>
    <mergeCell ref="G330:G331"/>
    <mergeCell ref="G276:G277"/>
    <mergeCell ref="F266:F268"/>
    <mergeCell ref="F282:F284"/>
    <mergeCell ref="D300:D302"/>
    <mergeCell ref="E300:E302"/>
    <mergeCell ref="F300:F302"/>
    <mergeCell ref="D303:D305"/>
    <mergeCell ref="E303:E305"/>
    <mergeCell ref="F303:F305"/>
    <mergeCell ref="D291:D293"/>
    <mergeCell ref="E291:E293"/>
    <mergeCell ref="F291:F293"/>
    <mergeCell ref="D294:D296"/>
    <mergeCell ref="E294:E296"/>
    <mergeCell ref="F294:F296"/>
    <mergeCell ref="D297:D299"/>
    <mergeCell ref="E297:E299"/>
    <mergeCell ref="F297:F299"/>
    <mergeCell ref="D251:D253"/>
    <mergeCell ref="E251:E253"/>
    <mergeCell ref="F251:F253"/>
    <mergeCell ref="G248:G249"/>
    <mergeCell ref="G251:G252"/>
    <mergeCell ref="G254:G255"/>
    <mergeCell ref="D269:D271"/>
    <mergeCell ref="E269:E271"/>
    <mergeCell ref="F269:F271"/>
    <mergeCell ref="D260:D262"/>
    <mergeCell ref="E260:E262"/>
    <mergeCell ref="F260:F262"/>
    <mergeCell ref="D263:D265"/>
    <mergeCell ref="E263:E265"/>
    <mergeCell ref="F263:F265"/>
    <mergeCell ref="D254:D256"/>
    <mergeCell ref="E254:E256"/>
    <mergeCell ref="F254:F256"/>
    <mergeCell ref="D257:D259"/>
    <mergeCell ref="E257:E259"/>
    <mergeCell ref="F257:F259"/>
    <mergeCell ref="G257:G258"/>
    <mergeCell ref="D266:D268"/>
    <mergeCell ref="E266:E268"/>
    <mergeCell ref="D233:D235"/>
    <mergeCell ref="E233:E235"/>
    <mergeCell ref="F233:F235"/>
    <mergeCell ref="D239:D241"/>
    <mergeCell ref="E239:E241"/>
    <mergeCell ref="F239:F241"/>
    <mergeCell ref="D236:D238"/>
    <mergeCell ref="E236:E238"/>
    <mergeCell ref="F236:F238"/>
    <mergeCell ref="D242:D244"/>
    <mergeCell ref="E242:E244"/>
    <mergeCell ref="F242:F244"/>
    <mergeCell ref="G236:G237"/>
    <mergeCell ref="D248:D250"/>
    <mergeCell ref="E248:E250"/>
    <mergeCell ref="F248:F250"/>
    <mergeCell ref="D245:D247"/>
    <mergeCell ref="E245:E247"/>
    <mergeCell ref="F245:F247"/>
    <mergeCell ref="D227:D229"/>
    <mergeCell ref="E227:E229"/>
    <mergeCell ref="F227:F229"/>
    <mergeCell ref="D230:D232"/>
    <mergeCell ref="E230:E232"/>
    <mergeCell ref="F230:F232"/>
    <mergeCell ref="G230:G231"/>
    <mergeCell ref="D215:D217"/>
    <mergeCell ref="E215:E217"/>
    <mergeCell ref="F215:F217"/>
    <mergeCell ref="D221:D223"/>
    <mergeCell ref="E221:E223"/>
    <mergeCell ref="F221:F223"/>
    <mergeCell ref="D224:D226"/>
    <mergeCell ref="E224:E226"/>
    <mergeCell ref="F224:F226"/>
    <mergeCell ref="D196:D198"/>
    <mergeCell ref="E196:E198"/>
    <mergeCell ref="F196:F198"/>
    <mergeCell ref="D199:D201"/>
    <mergeCell ref="E199:E201"/>
    <mergeCell ref="F199:F201"/>
    <mergeCell ref="G196:G197"/>
    <mergeCell ref="G199:G200"/>
    <mergeCell ref="D218:D220"/>
    <mergeCell ref="E218:E220"/>
    <mergeCell ref="F218:F220"/>
    <mergeCell ref="D208:D210"/>
    <mergeCell ref="E208:E210"/>
    <mergeCell ref="F208:F210"/>
    <mergeCell ref="D212:D214"/>
    <mergeCell ref="E212:E214"/>
    <mergeCell ref="F212:F214"/>
    <mergeCell ref="D202:D204"/>
    <mergeCell ref="E202:E204"/>
    <mergeCell ref="F202:F204"/>
    <mergeCell ref="D205:D207"/>
    <mergeCell ref="E205:E207"/>
    <mergeCell ref="F205:F207"/>
    <mergeCell ref="G205:G206"/>
    <mergeCell ref="D178:D180"/>
    <mergeCell ref="E178:E180"/>
    <mergeCell ref="F178:F180"/>
    <mergeCell ref="D181:D183"/>
    <mergeCell ref="E181:E183"/>
    <mergeCell ref="F181:F183"/>
    <mergeCell ref="G181:G182"/>
    <mergeCell ref="D190:D192"/>
    <mergeCell ref="E190:E192"/>
    <mergeCell ref="F190:F192"/>
    <mergeCell ref="D193:D195"/>
    <mergeCell ref="E193:E195"/>
    <mergeCell ref="F193:F195"/>
    <mergeCell ref="D184:D186"/>
    <mergeCell ref="E184:E186"/>
    <mergeCell ref="F184:F186"/>
    <mergeCell ref="D187:D189"/>
    <mergeCell ref="E187:E189"/>
    <mergeCell ref="F187:F189"/>
    <mergeCell ref="F157:F159"/>
    <mergeCell ref="D160:D162"/>
    <mergeCell ref="E160:E162"/>
    <mergeCell ref="F160:F162"/>
    <mergeCell ref="D169:D171"/>
    <mergeCell ref="E169:E171"/>
    <mergeCell ref="F169:F171"/>
    <mergeCell ref="D172:D174"/>
    <mergeCell ref="E172:E174"/>
    <mergeCell ref="F172:F174"/>
    <mergeCell ref="G143:G144"/>
    <mergeCell ref="G146:G147"/>
    <mergeCell ref="G150:G151"/>
    <mergeCell ref="G153:G155"/>
    <mergeCell ref="D163:D165"/>
    <mergeCell ref="E163:E165"/>
    <mergeCell ref="F163:F165"/>
    <mergeCell ref="D166:D168"/>
    <mergeCell ref="E166:E168"/>
    <mergeCell ref="F166:F168"/>
    <mergeCell ref="D157:D159"/>
    <mergeCell ref="D153:D156"/>
    <mergeCell ref="E153:E156"/>
    <mergeCell ref="F153:F156"/>
    <mergeCell ref="D143:D145"/>
    <mergeCell ref="E143:E145"/>
    <mergeCell ref="F143:F145"/>
    <mergeCell ref="D146:D148"/>
    <mergeCell ref="E146:E148"/>
    <mergeCell ref="F146:F148"/>
    <mergeCell ref="D150:D152"/>
    <mergeCell ref="E150:E152"/>
    <mergeCell ref="F150:F152"/>
    <mergeCell ref="E157:E159"/>
    <mergeCell ref="D137:D139"/>
    <mergeCell ref="E137:E139"/>
    <mergeCell ref="F137:F139"/>
    <mergeCell ref="D140:D142"/>
    <mergeCell ref="E140:E142"/>
    <mergeCell ref="F140:F142"/>
    <mergeCell ref="D131:D133"/>
    <mergeCell ref="E131:E133"/>
    <mergeCell ref="F131:F133"/>
    <mergeCell ref="D134:D136"/>
    <mergeCell ref="E134:E136"/>
    <mergeCell ref="F134:F136"/>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6:E78"/>
    <mergeCell ref="D79:D81"/>
    <mergeCell ref="E79:E81"/>
    <mergeCell ref="D95:D97"/>
    <mergeCell ref="E95:E97"/>
    <mergeCell ref="D110:D112"/>
    <mergeCell ref="E110:E112"/>
    <mergeCell ref="F110:F112"/>
    <mergeCell ref="F98:F100"/>
    <mergeCell ref="D101:D103"/>
    <mergeCell ref="E101:E103"/>
    <mergeCell ref="F101:F103"/>
    <mergeCell ref="D82:D84"/>
    <mergeCell ref="E82:E84"/>
    <mergeCell ref="F82:F84"/>
    <mergeCell ref="D88:D90"/>
    <mergeCell ref="E88:E90"/>
    <mergeCell ref="F88:F90"/>
    <mergeCell ref="D98:D100"/>
    <mergeCell ref="E98:E100"/>
    <mergeCell ref="F85:L85"/>
    <mergeCell ref="H86:I86"/>
    <mergeCell ref="F87:L87"/>
    <mergeCell ref="G104:G105"/>
    <mergeCell ref="D46:D48"/>
    <mergeCell ref="E46:E48"/>
    <mergeCell ref="F46:F48"/>
    <mergeCell ref="D64:D66"/>
    <mergeCell ref="E64:E66"/>
    <mergeCell ref="F64:F66"/>
    <mergeCell ref="D67:D69"/>
    <mergeCell ref="E67:E69"/>
    <mergeCell ref="F67:F69"/>
    <mergeCell ref="D58:D60"/>
    <mergeCell ref="E58:E60"/>
    <mergeCell ref="F58:F60"/>
    <mergeCell ref="D61:D63"/>
    <mergeCell ref="E61:E63"/>
    <mergeCell ref="F61:F63"/>
    <mergeCell ref="D52:D54"/>
    <mergeCell ref="E52:E54"/>
    <mergeCell ref="D55:D57"/>
    <mergeCell ref="E55:E57"/>
    <mergeCell ref="D49:D51"/>
    <mergeCell ref="G46:G47"/>
    <mergeCell ref="G52:G53"/>
    <mergeCell ref="G55:G56"/>
    <mergeCell ref="G58:G59"/>
    <mergeCell ref="M212:M215"/>
    <mergeCell ref="M88:M91"/>
    <mergeCell ref="F149:L149"/>
    <mergeCell ref="M150:M153"/>
    <mergeCell ref="F211:L211"/>
    <mergeCell ref="F52:F54"/>
    <mergeCell ref="F55:F57"/>
    <mergeCell ref="F76:F78"/>
    <mergeCell ref="F79:F81"/>
    <mergeCell ref="F91:F94"/>
    <mergeCell ref="F95:F97"/>
    <mergeCell ref="M24:M84"/>
    <mergeCell ref="G43:G44"/>
    <mergeCell ref="G131:G132"/>
    <mergeCell ref="G134:G135"/>
    <mergeCell ref="G137:G138"/>
    <mergeCell ref="G140:G141"/>
    <mergeCell ref="G157:G158"/>
    <mergeCell ref="G91:G93"/>
    <mergeCell ref="G95:G96"/>
    <mergeCell ref="F334:M334"/>
    <mergeCell ref="F272:L272"/>
    <mergeCell ref="D273:D275"/>
    <mergeCell ref="E273:E275"/>
    <mergeCell ref="F273:F275"/>
    <mergeCell ref="D276:D278"/>
    <mergeCell ref="E276:E278"/>
    <mergeCell ref="F276:F278"/>
    <mergeCell ref="D279:D281"/>
    <mergeCell ref="D285:D287"/>
    <mergeCell ref="E285:E287"/>
    <mergeCell ref="F285:F287"/>
    <mergeCell ref="D288:D290"/>
    <mergeCell ref="E288:E290"/>
    <mergeCell ref="F288:F290"/>
    <mergeCell ref="E279:E281"/>
    <mergeCell ref="F279:F281"/>
    <mergeCell ref="D282:D284"/>
    <mergeCell ref="E282:E284"/>
    <mergeCell ref="F306:F308"/>
    <mergeCell ref="D309:D311"/>
    <mergeCell ref="E309:E311"/>
    <mergeCell ref="D330:D332"/>
    <mergeCell ref="E330:E332"/>
    <mergeCell ref="F309:F311"/>
    <mergeCell ref="G306:G307"/>
    <mergeCell ref="D43:D45"/>
    <mergeCell ref="E43:E45"/>
    <mergeCell ref="F43:F45"/>
    <mergeCell ref="D27:D30"/>
    <mergeCell ref="E27:E30"/>
    <mergeCell ref="F27:F30"/>
    <mergeCell ref="D31:D33"/>
    <mergeCell ref="E31:E33"/>
    <mergeCell ref="F31:F33"/>
    <mergeCell ref="D34:D36"/>
    <mergeCell ref="E34:E36"/>
    <mergeCell ref="F34:F36"/>
    <mergeCell ref="G27:G29"/>
    <mergeCell ref="G31:G32"/>
    <mergeCell ref="G34:G35"/>
    <mergeCell ref="G37:G38"/>
    <mergeCell ref="G40:G41"/>
    <mergeCell ref="D37:D39"/>
    <mergeCell ref="E37:E39"/>
    <mergeCell ref="F37:F39"/>
    <mergeCell ref="D40:D42"/>
    <mergeCell ref="E40:E42"/>
    <mergeCell ref="F40:F42"/>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9:G50"/>
    <mergeCell ref="D113:D115"/>
    <mergeCell ref="E113:E115"/>
    <mergeCell ref="F113:F115"/>
    <mergeCell ref="G113:G114"/>
    <mergeCell ref="D175:D177"/>
    <mergeCell ref="E175:E177"/>
    <mergeCell ref="F175:F177"/>
    <mergeCell ref="G175:G176"/>
    <mergeCell ref="D70:D72"/>
    <mergeCell ref="E70:E72"/>
    <mergeCell ref="F70:F72"/>
    <mergeCell ref="D91:D94"/>
    <mergeCell ref="E91:E94"/>
    <mergeCell ref="D73:D75"/>
    <mergeCell ref="E73:E75"/>
    <mergeCell ref="F73:F75"/>
    <mergeCell ref="G160:G161"/>
    <mergeCell ref="G163:G164"/>
    <mergeCell ref="E49:E51"/>
    <mergeCell ref="F49:F51"/>
    <mergeCell ref="G98:G99"/>
    <mergeCell ref="G101:G102"/>
    <mergeCell ref="D76:D78"/>
  </mergeCells>
  <dataValidations count="4">
    <dataValidation type="decimal" allowBlank="1" showErrorMessage="1" errorTitle="Ошибка" error="Допускается ввод только действительных чисел!" sqref="K212 K215 K218 K221 K224 K227 K230 K233 K239 K242 K245 K248 K251 K254 K257 K260 K263 K266 K10 K88 K143 K140 K137 K134 K131 K128 K125 K122 K119 K116 K110 K107 K104 K101 K98 K95 K91:K92 K150 K146 K153:K154 K157 K160 K163 K166 K169 K172 K178 K181 K184 K187 K190 K196 K199 K202 K205 K208 K193 K269 K273 K276 K279 K282 K285 K288 K291 K294 K300 K303 K306 K309 K312 K315 K318 K321 K324 K327 K330 K5 K113 K175 K236 K29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0:M151 M212:M213 M23 M88:M89 M273:M27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6">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0:J40 I24:J24 I27:J28 I31:J31 I34:J34 I37:J37 I43:J43 I46:J46 I52:J52 I55:J55 I58:J58 I61:J61 I64:J64 I67:J67 I70:J70 I73:J73 I76:J76 I79:J79 I212:J212 I215:J215 I218:J218 I221:J221 I224:J224 I227:J227 I230:J230 I233:J233 I239:J239 I242:J242 I245:J245 I248:J248 I251:J251 I254:J254 I257:J257 I260:J260 I263:J263 I8:J8 I82:J82 I146:J146 I91:J92 I95:J95 I98:J98 I101:J101 I104:J104 I107:J107 I110:J110 I116:J116 I119:J119 I122:J122 I125:J125 I128:J128 I131:J131 I134:J134 I137:J137 I140:J140 I143:J143 I150:J150 I88:J88 I153:J154 I157:J157 I160:J160 I163:J163 I166:J166 I169:J169 I172:J172 I178:J178 I181:J181 I184:J184 I187:J187 I190:J190 I196:J196 I199:J199 I202:J202 I205:J205 I208:J208 I193:J193 I266:J266 I269:J269 I273:J273 I276:J276 I279:J279 I282:J282 I285:J285 I288:J288 I291:J291 I294:J294 I300:J300 I303:J303 I306:J306 I309:J309 I312:J312 I315:J315 I318:J318 I321:J321 I324:J324 I327:J327 I330:J330 I2:J2 I5:J5 I49:J49 I113:J113 I175:J175 I236:J236 I297:J297"/>
  </dataValidations>
  <hyperlinks>
    <hyperlink ref="L86"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topLeftCell="C4" zoomScale="90" workbookViewId="0">
      <selection activeCell="E16" sqref="E16:H16"/>
    </sheetView>
  </sheetViews>
  <sheetFormatPr defaultColWidth="10.5703125" defaultRowHeight="14.25" customHeight="1"/>
  <cols>
    <col min="1" max="1" width="9.140625" style="2009"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451</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6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9"/>
      <c r="F5" s="2169"/>
      <c r="G5" s="2170"/>
      <c r="H5" s="204"/>
      <c r="R5" s="311">
        <v>33</v>
      </c>
    </row>
    <row r="6" spans="1:18" s="1562" customFormat="1" ht="18" customHeight="1">
      <c r="A6" s="1596"/>
      <c r="B6" s="1087"/>
      <c r="C6" s="313"/>
      <c r="D6" s="2226" t="str">
        <f>IF(org=0,"Не определено",org)</f>
        <v>ООО ПКФ "Энергетик-2001"</v>
      </c>
      <c r="E6" s="2227"/>
      <c r="F6" s="2227"/>
      <c r="G6" s="2228"/>
      <c r="H6" s="204"/>
      <c r="J6" s="1551"/>
      <c r="K6" s="1551"/>
      <c r="R6" s="1558">
        <v>17</v>
      </c>
    </row>
    <row r="7" spans="1:18" ht="14.65" customHeight="1">
      <c r="C7" s="313"/>
      <c r="D7" s="300"/>
      <c r="E7" s="326"/>
      <c r="F7" s="326"/>
      <c r="G7" s="689"/>
      <c r="H7" s="131"/>
      <c r="R7" s="311">
        <v>14</v>
      </c>
    </row>
    <row r="8" spans="1:18" ht="14.65" customHeight="1">
      <c r="C8" s="313"/>
      <c r="D8" s="2212" t="s">
        <v>306</v>
      </c>
      <c r="E8" s="2212"/>
      <c r="F8" s="2212"/>
      <c r="G8" s="2212"/>
      <c r="H8" s="2366" t="s">
        <v>307</v>
      </c>
      <c r="R8" s="311">
        <v>14</v>
      </c>
    </row>
    <row r="9" spans="1:18" ht="24" customHeight="1">
      <c r="C9" s="313"/>
      <c r="D9" s="323" t="s">
        <v>88</v>
      </c>
      <c r="E9" s="48" t="s">
        <v>308</v>
      </c>
      <c r="F9" s="48" t="s">
        <v>309</v>
      </c>
      <c r="G9" s="48" t="s">
        <v>396</v>
      </c>
      <c r="H9" s="2366"/>
      <c r="R9" s="311">
        <v>23</v>
      </c>
    </row>
    <row r="10" spans="1:18" ht="81.599999999999994"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1169</v>
      </c>
      <c r="G10" s="2079" t="s">
        <v>1170</v>
      </c>
      <c r="H10" s="2160" t="s">
        <v>1171</v>
      </c>
      <c r="R10" s="311">
        <v>14</v>
      </c>
    </row>
    <row r="11" spans="1:18" ht="7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1172</v>
      </c>
      <c r="G11" s="2079" t="s">
        <v>1170</v>
      </c>
      <c r="H11" s="2161"/>
      <c r="R11" s="311">
        <v>14</v>
      </c>
    </row>
    <row r="12" spans="1:18" ht="48.4" customHeight="1">
      <c r="A12" s="42"/>
      <c r="C12" s="324"/>
      <c r="D12" s="85" t="s">
        <v>90</v>
      </c>
      <c r="E12" s="325" t="str">
        <f>"Сведения о планировании закупочных процедур"&amp;IF(TEMPLATE_SPHERE="TKO"," &lt;1&gt;","")</f>
        <v>Сведения о планировании закупочных процедур</v>
      </c>
      <c r="F12" s="195" t="s">
        <v>1173</v>
      </c>
      <c r="G12" s="2079" t="s">
        <v>1174</v>
      </c>
      <c r="H12" s="21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14.9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195" t="s">
        <v>1175</v>
      </c>
      <c r="G13" s="2079" t="s">
        <v>1176</v>
      </c>
      <c r="H13" s="2161"/>
      <c r="I13" s="287"/>
      <c r="K13" s="311"/>
      <c r="R13" s="311">
        <v>14</v>
      </c>
    </row>
    <row r="14" spans="1:18" ht="14.65" customHeight="1">
      <c r="A14" s="281"/>
      <c r="C14" s="313"/>
      <c r="D14" s="285"/>
      <c r="E14" s="332" t="s">
        <v>328</v>
      </c>
      <c r="F14" s="286"/>
      <c r="G14" s="139"/>
      <c r="H14" s="216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50"/>
      <c r="F16" s="2250"/>
      <c r="G16" s="2250"/>
      <c r="H16" s="2250"/>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J57" sqref="J57"/>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6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9"/>
      <c r="F5" s="2169"/>
      <c r="G5" s="2169"/>
      <c r="H5" s="2169"/>
      <c r="I5" s="2169"/>
      <c r="J5" s="2170"/>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74" t="str">
        <f>IF(org=0,"Не определено",org)</f>
        <v>ООО ПКФ "Энергетик-2001"</v>
      </c>
      <c r="E6" s="2174"/>
      <c r="F6" s="2174"/>
      <c r="G6" s="2174"/>
      <c r="H6" s="2174"/>
      <c r="I6" s="2174"/>
      <c r="J6" s="217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71"/>
      <c r="E7" s="2172"/>
      <c r="F7" s="2172"/>
      <c r="G7" s="2172"/>
      <c r="H7" s="2172"/>
      <c r="I7" s="2172"/>
      <c r="J7" s="2173"/>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16" t="s">
        <v>88</v>
      </c>
      <c r="E9" s="2098" t="s">
        <v>123</v>
      </c>
      <c r="F9" s="2097"/>
      <c r="G9" s="2116" t="s">
        <v>106</v>
      </c>
      <c r="H9" s="2116" t="s">
        <v>88</v>
      </c>
      <c r="I9" s="2116"/>
      <c r="J9" s="2116" t="s">
        <v>124</v>
      </c>
      <c r="K9" s="2175" t="s">
        <v>125</v>
      </c>
      <c r="L9" s="2175"/>
      <c r="M9" s="2175"/>
      <c r="N9" s="2175"/>
      <c r="O9" s="2175" t="s">
        <v>126</v>
      </c>
      <c r="P9" s="2175"/>
      <c r="Q9" s="2175"/>
      <c r="R9" s="2175"/>
      <c r="S9" s="2175" t="s">
        <v>127</v>
      </c>
      <c r="T9" s="2175"/>
      <c r="U9" s="2175"/>
      <c r="V9" s="2175"/>
      <c r="W9" s="2116" t="s">
        <v>128</v>
      </c>
      <c r="AR9" s="44">
        <v>27</v>
      </c>
    </row>
    <row r="10" spans="1:44" ht="31.5" customHeight="1">
      <c r="D10" s="2116"/>
      <c r="E10" s="1211" t="s">
        <v>89</v>
      </c>
      <c r="F10" s="1211" t="s">
        <v>129</v>
      </c>
      <c r="G10" s="2116"/>
      <c r="H10" s="2116"/>
      <c r="I10" s="2116"/>
      <c r="J10" s="2116"/>
      <c r="K10" s="50" t="s">
        <v>109</v>
      </c>
      <c r="L10" s="2116" t="s">
        <v>88</v>
      </c>
      <c r="M10" s="2116"/>
      <c r="N10" s="50" t="s">
        <v>130</v>
      </c>
      <c r="O10" s="50" t="s">
        <v>109</v>
      </c>
      <c r="P10" s="2116" t="s">
        <v>88</v>
      </c>
      <c r="Q10" s="2116"/>
      <c r="R10" s="50" t="s">
        <v>130</v>
      </c>
      <c r="S10" s="221" t="s">
        <v>109</v>
      </c>
      <c r="T10" s="2116" t="s">
        <v>88</v>
      </c>
      <c r="U10" s="2116"/>
      <c r="V10" s="221" t="s">
        <v>89</v>
      </c>
      <c r="W10" s="2116"/>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90</v>
      </c>
      <c r="H11" s="2167" t="s">
        <v>112</v>
      </c>
      <c r="I11" s="2167"/>
      <c r="J11" s="1176" t="s">
        <v>92</v>
      </c>
      <c r="K11" s="1176" t="s">
        <v>93</v>
      </c>
      <c r="L11" s="2167" t="s">
        <v>113</v>
      </c>
      <c r="M11" s="2167"/>
      <c r="N11" s="1176" t="s">
        <v>149</v>
      </c>
      <c r="O11" s="1176" t="s">
        <v>150</v>
      </c>
      <c r="P11" s="2167" t="s">
        <v>151</v>
      </c>
      <c r="Q11" s="2167"/>
      <c r="R11" s="1176" t="s">
        <v>152</v>
      </c>
      <c r="S11" s="1176" t="s">
        <v>151</v>
      </c>
      <c r="T11" s="2167" t="s">
        <v>152</v>
      </c>
      <c r="U11" s="2167"/>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49">
        <v>1</v>
      </c>
      <c r="E13" s="2138" t="s">
        <v>155</v>
      </c>
      <c r="F13" s="2151" t="s">
        <v>19</v>
      </c>
      <c r="G13" s="2138"/>
      <c r="H13" s="2140"/>
      <c r="I13" s="2142"/>
      <c r="J13" s="2144"/>
      <c r="K13" s="2136"/>
      <c r="L13" s="2136"/>
      <c r="M13" s="2136"/>
      <c r="N13" s="2147"/>
      <c r="O13" s="2136"/>
      <c r="P13" s="2136"/>
      <c r="Q13" s="2136"/>
      <c r="R13" s="2134"/>
      <c r="S13" s="2136"/>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49"/>
      <c r="E14" s="2138"/>
      <c r="F14" s="2152"/>
      <c r="G14" s="2138"/>
      <c r="H14" s="2141"/>
      <c r="I14" s="2143"/>
      <c r="J14" s="2145"/>
      <c r="K14" s="2137"/>
      <c r="L14" s="2137"/>
      <c r="M14" s="2137"/>
      <c r="N14" s="2148"/>
      <c r="O14" s="2137"/>
      <c r="P14" s="2137"/>
      <c r="Q14" s="2137"/>
      <c r="R14" s="2135"/>
      <c r="S14" s="213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49"/>
      <c r="E15" s="2138"/>
      <c r="F15" s="2152"/>
      <c r="G15" s="2138"/>
      <c r="H15" s="2141"/>
      <c r="I15" s="2143"/>
      <c r="J15" s="2146"/>
      <c r="K15" s="2137"/>
      <c r="L15" s="2137"/>
      <c r="M15" s="2137"/>
      <c r="N15" s="2135"/>
      <c r="O15" s="2137"/>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49"/>
      <c r="E16" s="2138"/>
      <c r="F16" s="2152"/>
      <c r="G16" s="2138"/>
      <c r="H16" s="2141"/>
      <c r="I16" s="2143"/>
      <c r="J16" s="2146"/>
      <c r="K16" s="2137"/>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50"/>
      <c r="E17" s="2139"/>
      <c r="F17" s="2153"/>
      <c r="G17" s="213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49">
        <v>2</v>
      </c>
      <c r="E18" s="2165" t="s">
        <v>161</v>
      </c>
      <c r="F18" s="2151" t="s">
        <v>66</v>
      </c>
      <c r="G18" s="216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182"/>
      <c r="I18" s="2182">
        <v>1</v>
      </c>
      <c r="J18" s="2180" t="s">
        <v>162</v>
      </c>
      <c r="K18" s="2176" t="s">
        <v>19</v>
      </c>
      <c r="L18" s="2127"/>
      <c r="M18" s="2127" t="s">
        <v>110</v>
      </c>
      <c r="N18" s="2179" t="s">
        <v>28</v>
      </c>
      <c r="O18" s="2176" t="s">
        <v>19</v>
      </c>
      <c r="P18" s="2127"/>
      <c r="Q18" s="2127" t="s">
        <v>110</v>
      </c>
      <c r="R18" s="2178" t="s">
        <v>28</v>
      </c>
      <c r="S18" s="2126" t="s">
        <v>19</v>
      </c>
      <c r="T18" s="2000"/>
      <c r="U18" s="2000" t="s">
        <v>110</v>
      </c>
      <c r="V18" s="2031" t="s">
        <v>28</v>
      </c>
      <c r="W18" s="2012"/>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 (мощность) для потребителей на территории Засечного сельсовета Пензенского района Пензенской области</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49"/>
      <c r="E19" s="2165"/>
      <c r="F19" s="2152"/>
      <c r="G19" s="2163"/>
      <c r="H19" s="2182"/>
      <c r="I19" s="2182"/>
      <c r="J19" s="2180"/>
      <c r="K19" s="2177"/>
      <c r="L19" s="2127"/>
      <c r="M19" s="2127"/>
      <c r="N19" s="2179" t="s">
        <v>28</v>
      </c>
      <c r="O19" s="2177"/>
      <c r="P19" s="2127"/>
      <c r="Q19" s="2127"/>
      <c r="R19" s="2178" t="s">
        <v>28</v>
      </c>
      <c r="S19" s="2126"/>
      <c r="T19" s="2032"/>
      <c r="U19" s="2033"/>
      <c r="V19" s="2034" t="s">
        <v>169</v>
      </c>
      <c r="W19" s="203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50"/>
      <c r="E20" s="2166"/>
      <c r="F20" s="2152"/>
      <c r="G20" s="2164"/>
      <c r="H20" s="2150"/>
      <c r="I20" s="2150"/>
      <c r="J20" s="2181"/>
      <c r="K20" s="2177"/>
      <c r="L20" s="2150"/>
      <c r="M20" s="2150"/>
      <c r="N20" s="2178" t="s">
        <v>28</v>
      </c>
      <c r="O20" s="2131"/>
      <c r="P20" s="2032"/>
      <c r="Q20" s="2033"/>
      <c r="R20" s="2036" t="s">
        <v>170</v>
      </c>
      <c r="S20" s="2037"/>
      <c r="T20" s="2037"/>
      <c r="U20" s="2037"/>
      <c r="V20" s="2037"/>
      <c r="W20" s="203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50"/>
      <c r="E21" s="2166"/>
      <c r="F21" s="2152"/>
      <c r="G21" s="2164"/>
      <c r="H21" s="2150"/>
      <c r="I21" s="2150"/>
      <c r="J21" s="2181"/>
      <c r="K21" s="2131"/>
      <c r="L21" s="2032"/>
      <c r="M21" s="2033"/>
      <c r="N21" s="2038" t="s">
        <v>171</v>
      </c>
      <c r="O21" s="2033"/>
      <c r="P21" s="2033"/>
      <c r="Q21" s="2033"/>
      <c r="R21" s="2033"/>
      <c r="S21" s="2037"/>
      <c r="T21" s="2037"/>
      <c r="U21" s="2037"/>
      <c r="V21" s="2037"/>
      <c r="W21" s="203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50"/>
      <c r="E22" s="2166"/>
      <c r="F22" s="2153"/>
      <c r="G22" s="2164"/>
      <c r="H22" s="2032"/>
      <c r="I22" s="2033"/>
      <c r="J22" s="2039" t="s">
        <v>172</v>
      </c>
      <c r="K22" s="2033"/>
      <c r="L22" s="2033"/>
      <c r="M22" s="2033"/>
      <c r="N22" s="2033"/>
      <c r="O22" s="2033"/>
      <c r="P22" s="2033"/>
      <c r="Q22" s="2033"/>
      <c r="R22" s="2033"/>
      <c r="S22" s="2037"/>
      <c r="T22" s="2037"/>
      <c r="U22" s="2037"/>
      <c r="V22" s="2037"/>
      <c r="W22" s="2035"/>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49">
        <v>2</v>
      </c>
      <c r="E23" s="2138" t="s">
        <v>161</v>
      </c>
      <c r="F23" s="2151" t="s">
        <v>19</v>
      </c>
      <c r="G23" s="2138"/>
      <c r="H23" s="2140"/>
      <c r="I23" s="2142"/>
      <c r="J23" s="2144"/>
      <c r="K23" s="2136"/>
      <c r="L23" s="2136"/>
      <c r="M23" s="2136"/>
      <c r="N23" s="2147"/>
      <c r="O23" s="2136"/>
      <c r="P23" s="2136"/>
      <c r="Q23" s="2136"/>
      <c r="R23" s="2134"/>
      <c r="S23" s="2136"/>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49"/>
      <c r="E24" s="2138"/>
      <c r="F24" s="2152"/>
      <c r="G24" s="2138"/>
      <c r="H24" s="2141"/>
      <c r="I24" s="2143"/>
      <c r="J24" s="2145"/>
      <c r="K24" s="2137"/>
      <c r="L24" s="2137"/>
      <c r="M24" s="2137"/>
      <c r="N24" s="2148"/>
      <c r="O24" s="2137"/>
      <c r="P24" s="2137"/>
      <c r="Q24" s="2137"/>
      <c r="R24" s="2135"/>
      <c r="S24" s="213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50"/>
      <c r="E25" s="2139"/>
      <c r="F25" s="2152"/>
      <c r="G25" s="2139"/>
      <c r="H25" s="2141"/>
      <c r="I25" s="2143"/>
      <c r="J25" s="2146"/>
      <c r="K25" s="2137"/>
      <c r="L25" s="2137"/>
      <c r="M25" s="2137"/>
      <c r="N25" s="2135"/>
      <c r="O25" s="2137"/>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50"/>
      <c r="E26" s="2139"/>
      <c r="F26" s="2152"/>
      <c r="G26" s="2139"/>
      <c r="H26" s="2141"/>
      <c r="I26" s="2143"/>
      <c r="J26" s="2146"/>
      <c r="K26" s="2137"/>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50"/>
      <c r="E27" s="2139"/>
      <c r="F27" s="2153"/>
      <c r="G27" s="213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49">
        <v>3</v>
      </c>
      <c r="E28" s="2138" t="s">
        <v>173</v>
      </c>
      <c r="F28" s="2151" t="s">
        <v>19</v>
      </c>
      <c r="G28" s="2138"/>
      <c r="H28" s="2140"/>
      <c r="I28" s="2142"/>
      <c r="J28" s="2144"/>
      <c r="K28" s="2136"/>
      <c r="L28" s="2136"/>
      <c r="M28" s="2136"/>
      <c r="N28" s="2147"/>
      <c r="O28" s="2136"/>
      <c r="P28" s="2136"/>
      <c r="Q28" s="2136"/>
      <c r="R28" s="2134"/>
      <c r="S28" s="2136"/>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49"/>
      <c r="E29" s="2138"/>
      <c r="F29" s="2152"/>
      <c r="G29" s="2138"/>
      <c r="H29" s="2141"/>
      <c r="I29" s="2143"/>
      <c r="J29" s="2145"/>
      <c r="K29" s="2137"/>
      <c r="L29" s="2137"/>
      <c r="M29" s="2137"/>
      <c r="N29" s="2148"/>
      <c r="O29" s="2137"/>
      <c r="P29" s="2137"/>
      <c r="Q29" s="2137"/>
      <c r="R29" s="2135"/>
      <c r="S29" s="213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50"/>
      <c r="E30" s="2139"/>
      <c r="F30" s="2152"/>
      <c r="G30" s="2139"/>
      <c r="H30" s="2141"/>
      <c r="I30" s="2143"/>
      <c r="J30" s="2146"/>
      <c r="K30" s="2137"/>
      <c r="L30" s="2137"/>
      <c r="M30" s="2137"/>
      <c r="N30" s="2135"/>
      <c r="O30" s="2137"/>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50"/>
      <c r="E31" s="2139"/>
      <c r="F31" s="2152"/>
      <c r="G31" s="2139"/>
      <c r="H31" s="2141"/>
      <c r="I31" s="2143"/>
      <c r="J31" s="2146"/>
      <c r="K31" s="2137"/>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50"/>
      <c r="E32" s="2139"/>
      <c r="F32" s="2153"/>
      <c r="G32" s="213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49">
        <v>4</v>
      </c>
      <c r="E33" s="2138" t="s">
        <v>179</v>
      </c>
      <c r="F33" s="2151" t="s">
        <v>19</v>
      </c>
      <c r="G33" s="2138"/>
      <c r="H33" s="2140"/>
      <c r="I33" s="2142"/>
      <c r="J33" s="2144"/>
      <c r="K33" s="2136"/>
      <c r="L33" s="2136"/>
      <c r="M33" s="2136"/>
      <c r="N33" s="2147"/>
      <c r="O33" s="2136"/>
      <c r="P33" s="2136"/>
      <c r="Q33" s="2136"/>
      <c r="R33" s="2134"/>
      <c r="S33" s="2136"/>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49"/>
      <c r="E34" s="2138"/>
      <c r="F34" s="2152"/>
      <c r="G34" s="2138"/>
      <c r="H34" s="2141"/>
      <c r="I34" s="2143"/>
      <c r="J34" s="2145"/>
      <c r="K34" s="2137"/>
      <c r="L34" s="2137"/>
      <c r="M34" s="2137"/>
      <c r="N34" s="2148"/>
      <c r="O34" s="2137"/>
      <c r="P34" s="2137"/>
      <c r="Q34" s="2137"/>
      <c r="R34" s="2135"/>
      <c r="S34" s="213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50"/>
      <c r="E35" s="2139"/>
      <c r="F35" s="2152"/>
      <c r="G35" s="2139"/>
      <c r="H35" s="2141"/>
      <c r="I35" s="2143"/>
      <c r="J35" s="2146"/>
      <c r="K35" s="2137"/>
      <c r="L35" s="2137"/>
      <c r="M35" s="2137"/>
      <c r="N35" s="2135"/>
      <c r="O35" s="2137"/>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50"/>
      <c r="E36" s="2139"/>
      <c r="F36" s="2152"/>
      <c r="G36" s="2139"/>
      <c r="H36" s="2141"/>
      <c r="I36" s="2143"/>
      <c r="J36" s="2146"/>
      <c r="K36" s="2137"/>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50"/>
      <c r="E37" s="2139"/>
      <c r="F37" s="2153"/>
      <c r="G37" s="213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49">
        <v>5</v>
      </c>
      <c r="E38" s="2138" t="s">
        <v>185</v>
      </c>
      <c r="F38" s="2151" t="s">
        <v>19</v>
      </c>
      <c r="G38" s="2138"/>
      <c r="H38" s="2140"/>
      <c r="I38" s="2142"/>
      <c r="J38" s="2144"/>
      <c r="K38" s="2136"/>
      <c r="L38" s="2136"/>
      <c r="M38" s="2136"/>
      <c r="N38" s="2147"/>
      <c r="O38" s="2136"/>
      <c r="P38" s="2136"/>
      <c r="Q38" s="2136"/>
      <c r="R38" s="2134"/>
      <c r="S38" s="2136"/>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49"/>
      <c r="E39" s="2138"/>
      <c r="F39" s="2152"/>
      <c r="G39" s="2138"/>
      <c r="H39" s="2141"/>
      <c r="I39" s="2143"/>
      <c r="J39" s="2145"/>
      <c r="K39" s="2137"/>
      <c r="L39" s="2137"/>
      <c r="M39" s="2137"/>
      <c r="N39" s="2148"/>
      <c r="O39" s="2137"/>
      <c r="P39" s="2137"/>
      <c r="Q39" s="2137"/>
      <c r="R39" s="2135"/>
      <c r="S39" s="213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50"/>
      <c r="E40" s="2139"/>
      <c r="F40" s="2152"/>
      <c r="G40" s="2139"/>
      <c r="H40" s="2141"/>
      <c r="I40" s="2143"/>
      <c r="J40" s="2146"/>
      <c r="K40" s="2137"/>
      <c r="L40" s="2137"/>
      <c r="M40" s="2137"/>
      <c r="N40" s="2135"/>
      <c r="O40" s="2137"/>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50"/>
      <c r="E41" s="2139"/>
      <c r="F41" s="2152"/>
      <c r="G41" s="2139"/>
      <c r="H41" s="2141"/>
      <c r="I41" s="2143"/>
      <c r="J41" s="2146"/>
      <c r="K41" s="2137"/>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50"/>
      <c r="E42" s="2139"/>
      <c r="F42" s="2153"/>
      <c r="G42" s="213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49">
        <v>6</v>
      </c>
      <c r="E43" s="2138" t="s">
        <v>191</v>
      </c>
      <c r="F43" s="2151" t="s">
        <v>19</v>
      </c>
      <c r="G43" s="2138"/>
      <c r="H43" s="2140"/>
      <c r="I43" s="2142"/>
      <c r="J43" s="2144"/>
      <c r="K43" s="2136"/>
      <c r="L43" s="2136"/>
      <c r="M43" s="2136"/>
      <c r="N43" s="2147"/>
      <c r="O43" s="2136"/>
      <c r="P43" s="2136"/>
      <c r="Q43" s="2136"/>
      <c r="R43" s="2134"/>
      <c r="S43" s="2136"/>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49"/>
      <c r="E44" s="2138"/>
      <c r="F44" s="2152"/>
      <c r="G44" s="2138"/>
      <c r="H44" s="2141"/>
      <c r="I44" s="2143"/>
      <c r="J44" s="2145"/>
      <c r="K44" s="2137"/>
      <c r="L44" s="2137"/>
      <c r="M44" s="2137"/>
      <c r="N44" s="2148"/>
      <c r="O44" s="2137"/>
      <c r="P44" s="2137"/>
      <c r="Q44" s="2137"/>
      <c r="R44" s="2135"/>
      <c r="S44" s="213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50"/>
      <c r="E45" s="2139"/>
      <c r="F45" s="2152"/>
      <c r="G45" s="2139"/>
      <c r="H45" s="2141"/>
      <c r="I45" s="2143"/>
      <c r="J45" s="2146"/>
      <c r="K45" s="2137"/>
      <c r="L45" s="2137"/>
      <c r="M45" s="2137"/>
      <c r="N45" s="2135"/>
      <c r="O45" s="2137"/>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50"/>
      <c r="E46" s="2139"/>
      <c r="F46" s="2152"/>
      <c r="G46" s="2139"/>
      <c r="H46" s="2141"/>
      <c r="I46" s="2143"/>
      <c r="J46" s="2146"/>
      <c r="K46" s="2137"/>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50"/>
      <c r="E47" s="2139"/>
      <c r="F47" s="2153"/>
      <c r="G47" s="213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57">
        <v>7</v>
      </c>
      <c r="E48" s="2160" t="s">
        <v>197</v>
      </c>
      <c r="F48" s="2151" t="s">
        <v>19</v>
      </c>
      <c r="G48" s="2160"/>
      <c r="H48" s="2140"/>
      <c r="I48" s="2142"/>
      <c r="J48" s="2144"/>
      <c r="K48" s="2136"/>
      <c r="L48" s="2136"/>
      <c r="M48" s="2136"/>
      <c r="N48" s="2147"/>
      <c r="O48" s="2136"/>
      <c r="P48" s="2136"/>
      <c r="Q48" s="2136"/>
      <c r="R48" s="2134"/>
      <c r="S48" s="2136"/>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58"/>
      <c r="E49" s="2161"/>
      <c r="F49" s="2152"/>
      <c r="G49" s="2161"/>
      <c r="H49" s="2141"/>
      <c r="I49" s="2143"/>
      <c r="J49" s="2145"/>
      <c r="K49" s="2137"/>
      <c r="L49" s="2137"/>
      <c r="M49" s="2137"/>
      <c r="N49" s="2148"/>
      <c r="O49" s="2137"/>
      <c r="P49" s="2137"/>
      <c r="Q49" s="2137"/>
      <c r="R49" s="2135"/>
      <c r="S49" s="213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58"/>
      <c r="E50" s="2161"/>
      <c r="F50" s="2152"/>
      <c r="G50" s="2161"/>
      <c r="H50" s="2141"/>
      <c r="I50" s="2143"/>
      <c r="J50" s="2146"/>
      <c r="K50" s="2137"/>
      <c r="L50" s="2137"/>
      <c r="M50" s="2137"/>
      <c r="N50" s="2135"/>
      <c r="O50" s="2137"/>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58"/>
      <c r="E51" s="2161"/>
      <c r="F51" s="2152"/>
      <c r="G51" s="2161"/>
      <c r="H51" s="2141"/>
      <c r="I51" s="2143"/>
      <c r="J51" s="2146"/>
      <c r="K51" s="2137"/>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59"/>
      <c r="E52" s="2162"/>
      <c r="F52" s="2153"/>
      <c r="G52" s="216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49">
        <v>8</v>
      </c>
      <c r="E53" s="2138" t="s">
        <v>203</v>
      </c>
      <c r="F53" s="2151" t="s">
        <v>66</v>
      </c>
      <c r="G53" s="2163"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53" s="2182"/>
      <c r="I53" s="2182">
        <v>1</v>
      </c>
      <c r="J53" s="2180" t="s">
        <v>204</v>
      </c>
      <c r="K53" s="2176" t="s">
        <v>19</v>
      </c>
      <c r="L53" s="2127"/>
      <c r="M53" s="2127" t="s">
        <v>110</v>
      </c>
      <c r="N53" s="2179" t="s">
        <v>28</v>
      </c>
      <c r="O53" s="2176" t="s">
        <v>19</v>
      </c>
      <c r="P53" s="2127"/>
      <c r="Q53" s="2127" t="s">
        <v>110</v>
      </c>
      <c r="R53" s="2178" t="s">
        <v>28</v>
      </c>
      <c r="S53" s="2126" t="s">
        <v>19</v>
      </c>
      <c r="T53" s="2000"/>
      <c r="U53" s="2000" t="s">
        <v>110</v>
      </c>
      <c r="V53" s="2031" t="s">
        <v>28</v>
      </c>
      <c r="W53" s="2012"/>
      <c r="X53" s="1194"/>
      <c r="Y53" s="1194"/>
      <c r="Z53" s="1194"/>
      <c r="AA53" s="1194"/>
      <c r="AB53" s="1194" t="s">
        <v>163</v>
      </c>
      <c r="AC53" s="1194" t="s">
        <v>205</v>
      </c>
      <c r="AD53" s="1194" t="s">
        <v>206</v>
      </c>
      <c r="AE53" s="1194" t="s">
        <v>207</v>
      </c>
      <c r="AF53" s="1194" t="s">
        <v>208</v>
      </c>
      <c r="AG53" s="1194" t="s">
        <v>209</v>
      </c>
      <c r="AH53" s="1194" t="str">
        <f>IF($E$53=0,"",$E$53)</f>
        <v>Плата за подключение (технологическое присоединение) к системе теплоснабжения</v>
      </c>
      <c r="AI53" s="1194" t="str">
        <f>IF($G$53=0,"",$G$53)</f>
        <v>Производство тепловой энергии. Некомбинированная выработка; Передача. Тепловая энергия; Сбыт. Тепловая энергия</v>
      </c>
      <c r="AJ53" s="1194" t="str">
        <f>IF($J$53=0,"",$J$53)</f>
        <v>плата за подключение объектов заявителей   к системе теплоснабжения ООО ПКФ "Энергетик-2001" на территории Засечного с/с Пензенского р-на Пензенской области</v>
      </c>
      <c r="AK53" s="1194" t="str">
        <f>IF($K$53="нет","без дифференциации",IF($N$53=0,"",$N$53))</f>
        <v>без дифференциации</v>
      </c>
      <c r="AL53" s="1194" t="str">
        <f>IF($O$53="нет","без дифференциации",IF($R$53=0,"",$R$53))</f>
        <v>без дифференциации</v>
      </c>
      <c r="AM53" s="1194" t="str">
        <f>IF($S$53="нет","без дифференциации",IF($V$53=0,"",$V$53))</f>
        <v>без дифференциации</v>
      </c>
      <c r="AN53" s="1698">
        <f>$I$53</f>
        <v>1</v>
      </c>
      <c r="AO53" s="1194" t="str">
        <f>$I$53&amp;"."&amp;$M$53</f>
        <v>1.1</v>
      </c>
      <c r="AP53" s="1186" t="str">
        <f>$I$53&amp;"."&amp;$M$53&amp;"."&amp;$Q$53</f>
        <v>1.1.1</v>
      </c>
      <c r="AQ53" s="1186" t="str">
        <f>$I$53&amp;"."&amp;$M$53&amp;"."&amp;$Q$53&amp;"."&amp;$U$53</f>
        <v>1.1.1.1</v>
      </c>
      <c r="AR53" s="1235">
        <v>0</v>
      </c>
    </row>
    <row r="54" spans="1:44" s="1778" customFormat="1" ht="17.25" customHeight="1">
      <c r="A54" s="259"/>
      <c r="C54" s="258"/>
      <c r="D54" s="2149"/>
      <c r="E54" s="2138"/>
      <c r="F54" s="2152"/>
      <c r="G54" s="2163"/>
      <c r="H54" s="2182"/>
      <c r="I54" s="2182"/>
      <c r="J54" s="2180"/>
      <c r="K54" s="2177"/>
      <c r="L54" s="2127"/>
      <c r="M54" s="2127"/>
      <c r="N54" s="2179" t="s">
        <v>28</v>
      </c>
      <c r="O54" s="2177"/>
      <c r="P54" s="2127"/>
      <c r="Q54" s="2127"/>
      <c r="R54" s="2178" t="s">
        <v>28</v>
      </c>
      <c r="S54" s="2126"/>
      <c r="T54" s="2032"/>
      <c r="U54" s="2033"/>
      <c r="V54" s="2040" t="s">
        <v>169</v>
      </c>
      <c r="W54" s="203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50"/>
      <c r="E55" s="2139"/>
      <c r="F55" s="2152"/>
      <c r="G55" s="2164"/>
      <c r="H55" s="2150"/>
      <c r="I55" s="2150"/>
      <c r="J55" s="2181"/>
      <c r="K55" s="2177"/>
      <c r="L55" s="2150"/>
      <c r="M55" s="2150"/>
      <c r="N55" s="2178" t="s">
        <v>28</v>
      </c>
      <c r="O55" s="2131"/>
      <c r="P55" s="2032"/>
      <c r="Q55" s="2033"/>
      <c r="R55" s="2041" t="s">
        <v>170</v>
      </c>
      <c r="S55" s="2037"/>
      <c r="T55" s="2037"/>
      <c r="U55" s="2037"/>
      <c r="V55" s="2037"/>
      <c r="W55" s="203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50"/>
      <c r="E56" s="2139"/>
      <c r="F56" s="2152"/>
      <c r="G56" s="2164"/>
      <c r="H56" s="2150"/>
      <c r="I56" s="2150"/>
      <c r="J56" s="2181"/>
      <c r="K56" s="2131"/>
      <c r="L56" s="2032"/>
      <c r="M56" s="2033"/>
      <c r="N56" s="2042" t="s">
        <v>171</v>
      </c>
      <c r="O56" s="2033"/>
      <c r="P56" s="2033"/>
      <c r="Q56" s="2033"/>
      <c r="R56" s="2033"/>
      <c r="S56" s="2037"/>
      <c r="T56" s="2037"/>
      <c r="U56" s="2037"/>
      <c r="V56" s="2037"/>
      <c r="W56" s="203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50"/>
      <c r="E57" s="2139"/>
      <c r="F57" s="2153"/>
      <c r="G57" s="2164"/>
      <c r="H57" s="2032"/>
      <c r="I57" s="2033"/>
      <c r="J57" s="2043" t="s">
        <v>172</v>
      </c>
      <c r="K57" s="2033"/>
      <c r="L57" s="2033"/>
      <c r="M57" s="2033"/>
      <c r="N57" s="2033"/>
      <c r="O57" s="2033"/>
      <c r="P57" s="2033"/>
      <c r="Q57" s="2033"/>
      <c r="R57" s="2033"/>
      <c r="S57" s="2037"/>
      <c r="T57" s="2037"/>
      <c r="U57" s="2037"/>
      <c r="V57" s="2037"/>
      <c r="W57" s="2035"/>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49">
        <v>9</v>
      </c>
      <c r="E58" s="2138" t="s">
        <v>210</v>
      </c>
      <c r="F58" s="2151" t="s">
        <v>19</v>
      </c>
      <c r="G58" s="2138"/>
      <c r="H58" s="2140"/>
      <c r="I58" s="2142"/>
      <c r="J58" s="2144"/>
      <c r="K58" s="2136"/>
      <c r="L58" s="2136"/>
      <c r="M58" s="2136"/>
      <c r="N58" s="2147"/>
      <c r="O58" s="2136"/>
      <c r="P58" s="2136"/>
      <c r="Q58" s="2136"/>
      <c r="R58" s="2134"/>
      <c r="S58" s="2136"/>
      <c r="T58" s="1853"/>
      <c r="U58" s="1853"/>
      <c r="V58" s="1855"/>
      <c r="W58" s="1223"/>
      <c r="X58" s="1194"/>
      <c r="Y58" s="1194"/>
      <c r="Z58" s="1194"/>
      <c r="AA58" s="1194"/>
      <c r="AB58" s="1194"/>
      <c r="AC58" s="1194" t="s">
        <v>211</v>
      </c>
      <c r="AD58" s="1194" t="s">
        <v>212</v>
      </c>
      <c r="AE58" s="1194" t="s">
        <v>213</v>
      </c>
      <c r="AF58" s="1194" t="s">
        <v>214</v>
      </c>
      <c r="AG58" s="1194" t="s">
        <v>215</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49"/>
      <c r="E59" s="2138"/>
      <c r="F59" s="2152"/>
      <c r="G59" s="2138"/>
      <c r="H59" s="2141"/>
      <c r="I59" s="2143"/>
      <c r="J59" s="2145"/>
      <c r="K59" s="2137"/>
      <c r="L59" s="2137"/>
      <c r="M59" s="2137"/>
      <c r="N59" s="2148"/>
      <c r="O59" s="2137"/>
      <c r="P59" s="2137"/>
      <c r="Q59" s="2137"/>
      <c r="R59" s="2135"/>
      <c r="S59" s="213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50"/>
      <c r="E60" s="2139"/>
      <c r="F60" s="2152"/>
      <c r="G60" s="2139"/>
      <c r="H60" s="2141"/>
      <c r="I60" s="2143"/>
      <c r="J60" s="2146"/>
      <c r="K60" s="2137"/>
      <c r="L60" s="2137"/>
      <c r="M60" s="2137"/>
      <c r="N60" s="2135"/>
      <c r="O60" s="2137"/>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50"/>
      <c r="E61" s="2139"/>
      <c r="F61" s="2152"/>
      <c r="G61" s="2139"/>
      <c r="H61" s="2141"/>
      <c r="I61" s="2143"/>
      <c r="J61" s="2146"/>
      <c r="K61" s="2137"/>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50"/>
      <c r="E62" s="2139"/>
      <c r="F62" s="2153"/>
      <c r="G62" s="213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49">
        <v>10</v>
      </c>
      <c r="E63" s="2138" t="s">
        <v>216</v>
      </c>
      <c r="F63" s="2151" t="s">
        <v>19</v>
      </c>
      <c r="G63" s="2138"/>
      <c r="H63" s="2140"/>
      <c r="I63" s="2142"/>
      <c r="J63" s="2144"/>
      <c r="K63" s="2136"/>
      <c r="L63" s="2136"/>
      <c r="M63" s="2136"/>
      <c r="N63" s="2147"/>
      <c r="O63" s="2136"/>
      <c r="P63" s="2136"/>
      <c r="Q63" s="2136"/>
      <c r="R63" s="2134"/>
      <c r="S63" s="2136"/>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49"/>
      <c r="E64" s="2138"/>
      <c r="F64" s="2152"/>
      <c r="G64" s="2138"/>
      <c r="H64" s="2141"/>
      <c r="I64" s="2143"/>
      <c r="J64" s="2145"/>
      <c r="K64" s="2137"/>
      <c r="L64" s="2137"/>
      <c r="M64" s="2137"/>
      <c r="N64" s="2148"/>
      <c r="O64" s="2137"/>
      <c r="P64" s="2137"/>
      <c r="Q64" s="2137"/>
      <c r="R64" s="2135"/>
      <c r="S64" s="213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50"/>
      <c r="E65" s="2139"/>
      <c r="F65" s="2152"/>
      <c r="G65" s="2139"/>
      <c r="H65" s="2141"/>
      <c r="I65" s="2143"/>
      <c r="J65" s="2146"/>
      <c r="K65" s="2137"/>
      <c r="L65" s="2137"/>
      <c r="M65" s="2137"/>
      <c r="N65" s="2135"/>
      <c r="O65" s="2137"/>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50"/>
      <c r="E66" s="2139"/>
      <c r="F66" s="2152"/>
      <c r="G66" s="2139"/>
      <c r="H66" s="2141"/>
      <c r="I66" s="2143"/>
      <c r="J66" s="2146"/>
      <c r="K66" s="2137"/>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50"/>
      <c r="E67" s="2139"/>
      <c r="F67" s="2153"/>
      <c r="G67" s="213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56" t="s">
        <v>222</v>
      </c>
      <c r="F69" s="2156"/>
      <c r="G69" s="2156"/>
      <c r="H69" s="2156"/>
      <c r="I69" s="2156"/>
      <c r="J69" s="2156"/>
      <c r="K69" s="2156"/>
      <c r="L69" s="2156"/>
      <c r="M69" s="2156"/>
      <c r="N69" s="2156"/>
      <c r="O69" s="2156"/>
      <c r="P69" s="2156"/>
      <c r="Q69" s="2156"/>
      <c r="R69" s="2156"/>
      <c r="S69" s="2156"/>
      <c r="T69" s="2156"/>
      <c r="U69" s="2156"/>
      <c r="V69" s="2156"/>
      <c r="W69" s="2156"/>
      <c r="AR69" s="44">
        <v>0</v>
      </c>
    </row>
    <row r="70" spans="1:44" ht="36.75" customHeight="1">
      <c r="E70" s="2154" t="s">
        <v>223</v>
      </c>
      <c r="F70" s="2154"/>
      <c r="G70" s="2155"/>
      <c r="H70" s="2155"/>
      <c r="I70" s="2155"/>
      <c r="J70" s="2155"/>
      <c r="K70" s="2155"/>
      <c r="L70" s="2155"/>
      <c r="M70" s="2155"/>
      <c r="N70" s="2155"/>
      <c r="O70" s="2155"/>
      <c r="P70" s="2155"/>
      <c r="Q70" s="2155"/>
      <c r="R70" s="2155"/>
      <c r="S70" s="2155"/>
      <c r="T70" s="2155"/>
      <c r="U70" s="2155"/>
      <c r="V70" s="2155"/>
      <c r="W70" s="2155"/>
      <c r="AR70" s="44">
        <v>0</v>
      </c>
    </row>
    <row r="71" spans="1:44" ht="28.5" customHeight="1">
      <c r="E71" s="2154" t="s">
        <v>224</v>
      </c>
      <c r="F71" s="2154"/>
      <c r="G71" s="2155"/>
      <c r="H71" s="2155"/>
      <c r="I71" s="2155"/>
      <c r="J71" s="2155"/>
      <c r="K71" s="2155"/>
      <c r="L71" s="2155"/>
      <c r="M71" s="2155"/>
      <c r="N71" s="2155"/>
      <c r="O71" s="2155"/>
      <c r="P71" s="2155"/>
      <c r="Q71" s="2155"/>
      <c r="R71" s="2155"/>
      <c r="S71" s="2155"/>
      <c r="T71" s="2155"/>
      <c r="U71" s="2155"/>
      <c r="V71" s="2155"/>
      <c r="W71" s="2155"/>
      <c r="AR71" s="44">
        <v>0</v>
      </c>
    </row>
    <row r="72" spans="1:44" ht="27" customHeight="1">
      <c r="E72" s="2154" t="s">
        <v>225</v>
      </c>
      <c r="F72" s="2154"/>
      <c r="G72" s="2155"/>
      <c r="H72" s="2155"/>
      <c r="I72" s="2155"/>
      <c r="J72" s="2155"/>
      <c r="K72" s="2155"/>
      <c r="L72" s="2155"/>
      <c r="M72" s="2155"/>
      <c r="N72" s="2155"/>
      <c r="O72" s="2155"/>
      <c r="P72" s="2155"/>
      <c r="Q72" s="2155"/>
      <c r="R72" s="2155"/>
      <c r="S72" s="2155"/>
      <c r="T72" s="2155"/>
      <c r="U72" s="2155"/>
      <c r="V72" s="2155"/>
      <c r="W72" s="2155"/>
      <c r="AR72" s="44">
        <v>0</v>
      </c>
    </row>
    <row r="73" spans="1:44" ht="17.25" customHeight="1">
      <c r="E73" s="2154" t="s">
        <v>226</v>
      </c>
      <c r="F73" s="2154"/>
      <c r="G73" s="2155"/>
      <c r="H73" s="2155"/>
      <c r="I73" s="2155"/>
      <c r="J73" s="2155"/>
      <c r="K73" s="2155"/>
      <c r="L73" s="2155"/>
      <c r="M73" s="2155"/>
      <c r="N73" s="2155"/>
      <c r="O73" s="2155"/>
      <c r="P73" s="2155"/>
      <c r="Q73" s="2155"/>
      <c r="R73" s="2155"/>
      <c r="S73" s="2155"/>
      <c r="T73" s="2155"/>
      <c r="U73" s="2155"/>
      <c r="V73" s="2155"/>
      <c r="W73" s="2155"/>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56" t="s">
        <v>227</v>
      </c>
      <c r="F75" s="2156"/>
      <c r="G75" s="2156"/>
      <c r="H75" s="2156"/>
      <c r="I75" s="2156"/>
      <c r="J75" s="2156"/>
      <c r="K75" s="2156"/>
      <c r="L75" s="2156"/>
      <c r="M75" s="2156"/>
      <c r="N75" s="2156"/>
      <c r="O75" s="2156"/>
      <c r="P75" s="2156"/>
      <c r="Q75" s="2156"/>
      <c r="R75" s="2156"/>
      <c r="S75" s="2156"/>
      <c r="T75" s="2156"/>
      <c r="U75" s="2156"/>
      <c r="V75" s="2156"/>
      <c r="W75" s="2156"/>
      <c r="AR75" s="44">
        <v>0</v>
      </c>
    </row>
    <row r="76" spans="1:44" ht="17.25" customHeight="1">
      <c r="E76" s="2154" t="s">
        <v>228</v>
      </c>
      <c r="F76" s="2154"/>
      <c r="G76" s="2155"/>
      <c r="H76" s="2155"/>
      <c r="I76" s="2155"/>
      <c r="J76" s="2155"/>
      <c r="K76" s="2155"/>
      <c r="L76" s="2155"/>
      <c r="M76" s="2155"/>
      <c r="N76" s="2155"/>
      <c r="O76" s="2155"/>
      <c r="P76" s="2155"/>
      <c r="Q76" s="2155"/>
      <c r="R76" s="2155"/>
      <c r="S76" s="2155"/>
      <c r="T76" s="2155"/>
      <c r="U76" s="2155"/>
      <c r="V76" s="2155"/>
      <c r="W76" s="2155"/>
      <c r="AR76" s="44">
        <v>0</v>
      </c>
    </row>
    <row r="77" spans="1:44" ht="17.25" customHeight="1">
      <c r="E77" s="2154" t="s">
        <v>229</v>
      </c>
      <c r="F77" s="2154"/>
      <c r="G77" s="2155"/>
      <c r="H77" s="2155"/>
      <c r="I77" s="2155"/>
      <c r="J77" s="2155"/>
      <c r="K77" s="2155"/>
      <c r="L77" s="2155"/>
      <c r="M77" s="2155"/>
      <c r="N77" s="2155"/>
      <c r="O77" s="2155"/>
      <c r="P77" s="2155"/>
      <c r="Q77" s="2155"/>
      <c r="R77" s="2155"/>
      <c r="S77" s="2155"/>
      <c r="T77" s="2155"/>
      <c r="U77" s="2155"/>
      <c r="V77" s="2155"/>
      <c r="W77" s="2155"/>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49">
        <v>1</v>
      </c>
      <c r="E79" s="2138" t="s">
        <v>230</v>
      </c>
      <c r="F79" s="2151" t="s">
        <v>19</v>
      </c>
      <c r="G79" s="2138"/>
      <c r="H79" s="2140"/>
      <c r="I79" s="2142"/>
      <c r="J79" s="2144"/>
      <c r="K79" s="2136"/>
      <c r="L79" s="2136"/>
      <c r="M79" s="2136"/>
      <c r="N79" s="2147"/>
      <c r="O79" s="2136"/>
      <c r="P79" s="2136"/>
      <c r="Q79" s="2136"/>
      <c r="R79" s="2134"/>
      <c r="S79" s="2136"/>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49"/>
      <c r="E80" s="2138"/>
      <c r="F80" s="2152"/>
      <c r="G80" s="2138"/>
      <c r="H80" s="2141"/>
      <c r="I80" s="2143"/>
      <c r="J80" s="2145"/>
      <c r="K80" s="2137"/>
      <c r="L80" s="2137"/>
      <c r="M80" s="2137"/>
      <c r="N80" s="2148"/>
      <c r="O80" s="2137"/>
      <c r="P80" s="2137"/>
      <c r="Q80" s="2137"/>
      <c r="R80" s="2135"/>
      <c r="S80" s="213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49"/>
      <c r="E81" s="2138"/>
      <c r="F81" s="2152"/>
      <c r="G81" s="2138"/>
      <c r="H81" s="2141"/>
      <c r="I81" s="2143"/>
      <c r="J81" s="2146"/>
      <c r="K81" s="2137"/>
      <c r="L81" s="2137"/>
      <c r="M81" s="2137"/>
      <c r="N81" s="2135"/>
      <c r="O81" s="2137"/>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49"/>
      <c r="E82" s="2138"/>
      <c r="F82" s="2152"/>
      <c r="G82" s="2138"/>
      <c r="H82" s="2141"/>
      <c r="I82" s="2143"/>
      <c r="J82" s="2146"/>
      <c r="K82" s="2137"/>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50"/>
      <c r="E83" s="2139"/>
      <c r="F83" s="2153"/>
      <c r="G83" s="213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49">
        <v>2</v>
      </c>
      <c r="E84" s="2138" t="s">
        <v>235</v>
      </c>
      <c r="F84" s="2151" t="s">
        <v>19</v>
      </c>
      <c r="G84" s="2138"/>
      <c r="H84" s="2140"/>
      <c r="I84" s="2142"/>
      <c r="J84" s="2144"/>
      <c r="K84" s="2136"/>
      <c r="L84" s="2136"/>
      <c r="M84" s="2136"/>
      <c r="N84" s="2147"/>
      <c r="O84" s="2136"/>
      <c r="P84" s="2136"/>
      <c r="Q84" s="2136"/>
      <c r="R84" s="2134"/>
      <c r="S84" s="2136"/>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49"/>
      <c r="E85" s="2138"/>
      <c r="F85" s="2152"/>
      <c r="G85" s="2138"/>
      <c r="H85" s="2141"/>
      <c r="I85" s="2143"/>
      <c r="J85" s="2145"/>
      <c r="K85" s="2137"/>
      <c r="L85" s="2137"/>
      <c r="M85" s="2137"/>
      <c r="N85" s="2148"/>
      <c r="O85" s="2137"/>
      <c r="P85" s="2137"/>
      <c r="Q85" s="2137"/>
      <c r="R85" s="2135"/>
      <c r="S85" s="213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50"/>
      <c r="E86" s="2139"/>
      <c r="F86" s="2152"/>
      <c r="G86" s="2139"/>
      <c r="H86" s="2141"/>
      <c r="I86" s="2143"/>
      <c r="J86" s="2146"/>
      <c r="K86" s="2137"/>
      <c r="L86" s="2137"/>
      <c r="M86" s="2137"/>
      <c r="N86" s="2135"/>
      <c r="O86" s="2137"/>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50"/>
      <c r="E87" s="2139"/>
      <c r="F87" s="2152"/>
      <c r="G87" s="2139"/>
      <c r="H87" s="2141"/>
      <c r="I87" s="2143"/>
      <c r="J87" s="2146"/>
      <c r="K87" s="2137"/>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50"/>
      <c r="E88" s="2139"/>
      <c r="F88" s="2153"/>
      <c r="G88" s="213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49">
        <v>3</v>
      </c>
      <c r="E89" s="2138" t="s">
        <v>240</v>
      </c>
      <c r="F89" s="2151" t="s">
        <v>19</v>
      </c>
      <c r="G89" s="2138"/>
      <c r="H89" s="2140"/>
      <c r="I89" s="2142"/>
      <c r="J89" s="2144"/>
      <c r="K89" s="2136"/>
      <c r="L89" s="2136"/>
      <c r="M89" s="2136"/>
      <c r="N89" s="2147"/>
      <c r="O89" s="2136"/>
      <c r="P89" s="2136"/>
      <c r="Q89" s="2136"/>
      <c r="R89" s="2134"/>
      <c r="S89" s="2136"/>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49"/>
      <c r="E90" s="2138"/>
      <c r="F90" s="2152"/>
      <c r="G90" s="2138"/>
      <c r="H90" s="2141"/>
      <c r="I90" s="2143"/>
      <c r="J90" s="2145"/>
      <c r="K90" s="2137"/>
      <c r="L90" s="2137"/>
      <c r="M90" s="2137"/>
      <c r="N90" s="2148"/>
      <c r="O90" s="2137"/>
      <c r="P90" s="2137"/>
      <c r="Q90" s="2137"/>
      <c r="R90" s="2135"/>
      <c r="S90" s="213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50"/>
      <c r="E91" s="2139"/>
      <c r="F91" s="2152"/>
      <c r="G91" s="2139"/>
      <c r="H91" s="2141"/>
      <c r="I91" s="2143"/>
      <c r="J91" s="2146"/>
      <c r="K91" s="2137"/>
      <c r="L91" s="2137"/>
      <c r="M91" s="2137"/>
      <c r="N91" s="2135"/>
      <c r="O91" s="2137"/>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50"/>
      <c r="E92" s="2139"/>
      <c r="F92" s="2152"/>
      <c r="G92" s="2139"/>
      <c r="H92" s="2141"/>
      <c r="I92" s="2143"/>
      <c r="J92" s="2146"/>
      <c r="K92" s="2137"/>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50"/>
      <c r="E93" s="2139"/>
      <c r="F93" s="2153"/>
      <c r="G93" s="213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49">
        <v>4</v>
      </c>
      <c r="E94" s="2138" t="s">
        <v>245</v>
      </c>
      <c r="F94" s="2151" t="s">
        <v>19</v>
      </c>
      <c r="G94" s="2138"/>
      <c r="H94" s="2140"/>
      <c r="I94" s="2142"/>
      <c r="J94" s="2144"/>
      <c r="K94" s="2136"/>
      <c r="L94" s="2136"/>
      <c r="M94" s="2136"/>
      <c r="N94" s="2147"/>
      <c r="O94" s="2136"/>
      <c r="P94" s="2136"/>
      <c r="Q94" s="2136"/>
      <c r="R94" s="2134"/>
      <c r="S94" s="2136"/>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49"/>
      <c r="E95" s="2138"/>
      <c r="F95" s="2152"/>
      <c r="G95" s="2138"/>
      <c r="H95" s="2141"/>
      <c r="I95" s="2143"/>
      <c r="J95" s="2145"/>
      <c r="K95" s="2137"/>
      <c r="L95" s="2137"/>
      <c r="M95" s="2137"/>
      <c r="N95" s="2148"/>
      <c r="O95" s="2137"/>
      <c r="P95" s="2137"/>
      <c r="Q95" s="2137"/>
      <c r="R95" s="2135"/>
      <c r="S95" s="213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50"/>
      <c r="E96" s="2139"/>
      <c r="F96" s="2152"/>
      <c r="G96" s="2139"/>
      <c r="H96" s="2141"/>
      <c r="I96" s="2143"/>
      <c r="J96" s="2146"/>
      <c r="K96" s="2137"/>
      <c r="L96" s="2137"/>
      <c r="M96" s="2137"/>
      <c r="N96" s="2135"/>
      <c r="O96" s="2137"/>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50"/>
      <c r="E97" s="2139"/>
      <c r="F97" s="2152"/>
      <c r="G97" s="2139"/>
      <c r="H97" s="2141"/>
      <c r="I97" s="2143"/>
      <c r="J97" s="2146"/>
      <c r="K97" s="2137"/>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50"/>
      <c r="E98" s="2139"/>
      <c r="F98" s="2153"/>
      <c r="G98" s="213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49">
        <v>5</v>
      </c>
      <c r="E99" s="2138" t="s">
        <v>250</v>
      </c>
      <c r="F99" s="2151" t="s">
        <v>19</v>
      </c>
      <c r="G99" s="2138"/>
      <c r="H99" s="2140"/>
      <c r="I99" s="2142"/>
      <c r="J99" s="2144"/>
      <c r="K99" s="2136"/>
      <c r="L99" s="2136"/>
      <c r="M99" s="2136"/>
      <c r="N99" s="2147"/>
      <c r="O99" s="2136"/>
      <c r="P99" s="2136"/>
      <c r="Q99" s="2136"/>
      <c r="R99" s="2134"/>
      <c r="S99" s="2136"/>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49"/>
      <c r="E100" s="2138"/>
      <c r="F100" s="2152"/>
      <c r="G100" s="2138"/>
      <c r="H100" s="2141"/>
      <c r="I100" s="2143"/>
      <c r="J100" s="2145"/>
      <c r="K100" s="2137"/>
      <c r="L100" s="2137"/>
      <c r="M100" s="2137"/>
      <c r="N100" s="2148"/>
      <c r="O100" s="2137"/>
      <c r="P100" s="2137"/>
      <c r="Q100" s="2137"/>
      <c r="R100" s="2135"/>
      <c r="S100" s="213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50"/>
      <c r="E101" s="2139"/>
      <c r="F101" s="2152"/>
      <c r="G101" s="2139"/>
      <c r="H101" s="2141"/>
      <c r="I101" s="2143"/>
      <c r="J101" s="2146"/>
      <c r="K101" s="2137"/>
      <c r="L101" s="2137"/>
      <c r="M101" s="2137"/>
      <c r="N101" s="2135"/>
      <c r="O101" s="2137"/>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50"/>
      <c r="E102" s="2139"/>
      <c r="F102" s="2152"/>
      <c r="G102" s="2139"/>
      <c r="H102" s="2141"/>
      <c r="I102" s="2143"/>
      <c r="J102" s="2146"/>
      <c r="K102" s="2137"/>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50"/>
      <c r="E103" s="2139"/>
      <c r="F103" s="2153"/>
      <c r="G103" s="213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49">
        <v>1</v>
      </c>
      <c r="E105" s="2138" t="s">
        <v>255</v>
      </c>
      <c r="F105" s="2151" t="s">
        <v>19</v>
      </c>
      <c r="G105" s="2138"/>
      <c r="H105" s="2140"/>
      <c r="I105" s="2142"/>
      <c r="J105" s="2144"/>
      <c r="K105" s="2136"/>
      <c r="L105" s="2136"/>
      <c r="M105" s="2136"/>
      <c r="N105" s="2147"/>
      <c r="O105" s="2136"/>
      <c r="P105" s="2136"/>
      <c r="Q105" s="2136"/>
      <c r="R105" s="2134"/>
      <c r="S105" s="2136"/>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49"/>
      <c r="E106" s="2138"/>
      <c r="F106" s="2152"/>
      <c r="G106" s="2138"/>
      <c r="H106" s="2141"/>
      <c r="I106" s="2143"/>
      <c r="J106" s="2145"/>
      <c r="K106" s="2137"/>
      <c r="L106" s="2137"/>
      <c r="M106" s="2137"/>
      <c r="N106" s="2148"/>
      <c r="O106" s="2137"/>
      <c r="P106" s="2137"/>
      <c r="Q106" s="2137"/>
      <c r="R106" s="2135"/>
      <c r="S106" s="213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49"/>
      <c r="E107" s="2138"/>
      <c r="F107" s="2152"/>
      <c r="G107" s="2138"/>
      <c r="H107" s="2141"/>
      <c r="I107" s="2143"/>
      <c r="J107" s="2146"/>
      <c r="K107" s="2137"/>
      <c r="L107" s="2137"/>
      <c r="M107" s="2137"/>
      <c r="N107" s="2135"/>
      <c r="O107" s="2137"/>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49"/>
      <c r="E108" s="2138"/>
      <c r="F108" s="2152"/>
      <c r="G108" s="2138"/>
      <c r="H108" s="2141"/>
      <c r="I108" s="2143"/>
      <c r="J108" s="2146"/>
      <c r="K108" s="2137"/>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50"/>
      <c r="E109" s="2139"/>
      <c r="F109" s="2153"/>
      <c r="G109" s="213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49">
        <v>2</v>
      </c>
      <c r="E110" s="2138" t="s">
        <v>260</v>
      </c>
      <c r="F110" s="2151" t="s">
        <v>19</v>
      </c>
      <c r="G110" s="2138"/>
      <c r="H110" s="2140"/>
      <c r="I110" s="2142"/>
      <c r="J110" s="2144"/>
      <c r="K110" s="2136"/>
      <c r="L110" s="2136"/>
      <c r="M110" s="2136"/>
      <c r="N110" s="2147"/>
      <c r="O110" s="2136"/>
      <c r="P110" s="2136"/>
      <c r="Q110" s="2136"/>
      <c r="R110" s="2134"/>
      <c r="S110" s="2136"/>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49"/>
      <c r="E111" s="2138"/>
      <c r="F111" s="2152"/>
      <c r="G111" s="2138"/>
      <c r="H111" s="2141"/>
      <c r="I111" s="2143"/>
      <c r="J111" s="2145"/>
      <c r="K111" s="2137"/>
      <c r="L111" s="2137"/>
      <c r="M111" s="2137"/>
      <c r="N111" s="2148"/>
      <c r="O111" s="2137"/>
      <c r="P111" s="2137"/>
      <c r="Q111" s="2137"/>
      <c r="R111" s="2135"/>
      <c r="S111" s="213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50"/>
      <c r="E112" s="2139"/>
      <c r="F112" s="2152"/>
      <c r="G112" s="2139"/>
      <c r="H112" s="2141"/>
      <c r="I112" s="2143"/>
      <c r="J112" s="2146"/>
      <c r="K112" s="2137"/>
      <c r="L112" s="2137"/>
      <c r="M112" s="2137"/>
      <c r="N112" s="2135"/>
      <c r="O112" s="2137"/>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50"/>
      <c r="E113" s="2139"/>
      <c r="F113" s="2152"/>
      <c r="G113" s="2139"/>
      <c r="H113" s="2141"/>
      <c r="I113" s="2143"/>
      <c r="J113" s="2146"/>
      <c r="K113" s="2137"/>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50"/>
      <c r="E114" s="2139"/>
      <c r="F114" s="2153"/>
      <c r="G114" s="213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49">
        <v>3</v>
      </c>
      <c r="E115" s="2138" t="s">
        <v>265</v>
      </c>
      <c r="F115" s="2151" t="s">
        <v>19</v>
      </c>
      <c r="G115" s="2138"/>
      <c r="H115" s="2140"/>
      <c r="I115" s="2142"/>
      <c r="J115" s="2144"/>
      <c r="K115" s="2136"/>
      <c r="L115" s="2136"/>
      <c r="M115" s="2136"/>
      <c r="N115" s="2147"/>
      <c r="O115" s="2136"/>
      <c r="P115" s="2136"/>
      <c r="Q115" s="2136"/>
      <c r="R115" s="2134"/>
      <c r="S115" s="2136"/>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49"/>
      <c r="E116" s="2138"/>
      <c r="F116" s="2152"/>
      <c r="G116" s="2138"/>
      <c r="H116" s="2141"/>
      <c r="I116" s="2143"/>
      <c r="J116" s="2145"/>
      <c r="K116" s="2137"/>
      <c r="L116" s="2137"/>
      <c r="M116" s="2137"/>
      <c r="N116" s="2148"/>
      <c r="O116" s="2137"/>
      <c r="P116" s="2137"/>
      <c r="Q116" s="2137"/>
      <c r="R116" s="2135"/>
      <c r="S116" s="213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50"/>
      <c r="E117" s="2139"/>
      <c r="F117" s="2152"/>
      <c r="G117" s="2139"/>
      <c r="H117" s="2141"/>
      <c r="I117" s="2143"/>
      <c r="J117" s="2146"/>
      <c r="K117" s="2137"/>
      <c r="L117" s="2137"/>
      <c r="M117" s="2137"/>
      <c r="N117" s="2135"/>
      <c r="O117" s="2137"/>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50"/>
      <c r="E118" s="2139"/>
      <c r="F118" s="2152"/>
      <c r="G118" s="2139"/>
      <c r="H118" s="2141"/>
      <c r="I118" s="2143"/>
      <c r="J118" s="2146"/>
      <c r="K118" s="2137"/>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50"/>
      <c r="E119" s="2139"/>
      <c r="F119" s="2153"/>
      <c r="G119" s="213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49">
        <v>1</v>
      </c>
      <c r="E121" s="2138" t="s">
        <v>270</v>
      </c>
      <c r="F121" s="2151" t="s">
        <v>19</v>
      </c>
      <c r="G121" s="2138"/>
      <c r="H121" s="2140"/>
      <c r="I121" s="2142"/>
      <c r="J121" s="2144"/>
      <c r="K121" s="2136"/>
      <c r="L121" s="2136"/>
      <c r="M121" s="2136"/>
      <c r="N121" s="2147"/>
      <c r="O121" s="2136"/>
      <c r="P121" s="2136"/>
      <c r="Q121" s="2136"/>
      <c r="R121" s="2134"/>
      <c r="S121" s="2136"/>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49"/>
      <c r="E122" s="2138"/>
      <c r="F122" s="2152"/>
      <c r="G122" s="2138"/>
      <c r="H122" s="2141"/>
      <c r="I122" s="2143"/>
      <c r="J122" s="2145"/>
      <c r="K122" s="2137"/>
      <c r="L122" s="2137"/>
      <c r="M122" s="2137"/>
      <c r="N122" s="2148"/>
      <c r="O122" s="2137"/>
      <c r="P122" s="2137"/>
      <c r="Q122" s="2137"/>
      <c r="R122" s="2135"/>
      <c r="S122" s="213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49"/>
      <c r="E123" s="2138"/>
      <c r="F123" s="2152"/>
      <c r="G123" s="2138"/>
      <c r="H123" s="2141"/>
      <c r="I123" s="2143"/>
      <c r="J123" s="2146"/>
      <c r="K123" s="2137"/>
      <c r="L123" s="2137"/>
      <c r="M123" s="2137"/>
      <c r="N123" s="2135"/>
      <c r="O123" s="2137"/>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49"/>
      <c r="E124" s="2138"/>
      <c r="F124" s="2152"/>
      <c r="G124" s="2138"/>
      <c r="H124" s="2141"/>
      <c r="I124" s="2143"/>
      <c r="J124" s="2146"/>
      <c r="K124" s="2137"/>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50"/>
      <c r="E125" s="2139"/>
      <c r="F125" s="2153"/>
      <c r="G125" s="213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49">
        <v>2</v>
      </c>
      <c r="E126" s="2138" t="s">
        <v>275</v>
      </c>
      <c r="F126" s="2151" t="s">
        <v>19</v>
      </c>
      <c r="G126" s="2138"/>
      <c r="H126" s="2140"/>
      <c r="I126" s="2142"/>
      <c r="J126" s="2144"/>
      <c r="K126" s="2136"/>
      <c r="L126" s="2136"/>
      <c r="M126" s="2136"/>
      <c r="N126" s="2147"/>
      <c r="O126" s="2136"/>
      <c r="P126" s="2136"/>
      <c r="Q126" s="2136"/>
      <c r="R126" s="2134"/>
      <c r="S126" s="2136"/>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49"/>
      <c r="E127" s="2138"/>
      <c r="F127" s="2152"/>
      <c r="G127" s="2138"/>
      <c r="H127" s="2141"/>
      <c r="I127" s="2143"/>
      <c r="J127" s="2145"/>
      <c r="K127" s="2137"/>
      <c r="L127" s="2137"/>
      <c r="M127" s="2137"/>
      <c r="N127" s="2148"/>
      <c r="O127" s="2137"/>
      <c r="P127" s="2137"/>
      <c r="Q127" s="2137"/>
      <c r="R127" s="2135"/>
      <c r="S127" s="213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50"/>
      <c r="E128" s="2139"/>
      <c r="F128" s="2152"/>
      <c r="G128" s="2139"/>
      <c r="H128" s="2141"/>
      <c r="I128" s="2143"/>
      <c r="J128" s="2146"/>
      <c r="K128" s="2137"/>
      <c r="L128" s="2137"/>
      <c r="M128" s="2137"/>
      <c r="N128" s="2135"/>
      <c r="O128" s="2137"/>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50"/>
      <c r="E129" s="2139"/>
      <c r="F129" s="2152"/>
      <c r="G129" s="2139"/>
      <c r="H129" s="2141"/>
      <c r="I129" s="2143"/>
      <c r="J129" s="2146"/>
      <c r="K129" s="2137"/>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50"/>
      <c r="E130" s="2139"/>
      <c r="F130" s="2153"/>
      <c r="G130" s="213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49">
        <v>3</v>
      </c>
      <c r="E131" s="2138" t="s">
        <v>280</v>
      </c>
      <c r="F131" s="2151" t="s">
        <v>19</v>
      </c>
      <c r="G131" s="2138"/>
      <c r="H131" s="2140"/>
      <c r="I131" s="2142"/>
      <c r="J131" s="2144"/>
      <c r="K131" s="2136"/>
      <c r="L131" s="2136"/>
      <c r="M131" s="2136"/>
      <c r="N131" s="2147"/>
      <c r="O131" s="2136"/>
      <c r="P131" s="2136"/>
      <c r="Q131" s="2136"/>
      <c r="R131" s="2134"/>
      <c r="S131" s="2136"/>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49"/>
      <c r="E132" s="2138"/>
      <c r="F132" s="2152"/>
      <c r="G132" s="2138"/>
      <c r="H132" s="2141"/>
      <c r="I132" s="2143"/>
      <c r="J132" s="2145"/>
      <c r="K132" s="2137"/>
      <c r="L132" s="2137"/>
      <c r="M132" s="2137"/>
      <c r="N132" s="2148"/>
      <c r="O132" s="2137"/>
      <c r="P132" s="2137"/>
      <c r="Q132" s="2137"/>
      <c r="R132" s="2135"/>
      <c r="S132" s="213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50"/>
      <c r="E133" s="2139"/>
      <c r="F133" s="2152"/>
      <c r="G133" s="2139"/>
      <c r="H133" s="2141"/>
      <c r="I133" s="2143"/>
      <c r="J133" s="2146"/>
      <c r="K133" s="2137"/>
      <c r="L133" s="2137"/>
      <c r="M133" s="2137"/>
      <c r="N133" s="2135"/>
      <c r="O133" s="2137"/>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50"/>
      <c r="E134" s="2139"/>
      <c r="F134" s="2152"/>
      <c r="G134" s="2139"/>
      <c r="H134" s="2141"/>
      <c r="I134" s="2143"/>
      <c r="J134" s="2146"/>
      <c r="K134" s="2137"/>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50"/>
      <c r="E135" s="2139"/>
      <c r="F135" s="2153"/>
      <c r="G135" s="213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O53:O55"/>
    <mergeCell ref="S53:S54"/>
    <mergeCell ref="P53:P54"/>
    <mergeCell ref="Q53:Q54"/>
    <mergeCell ref="R53:R54"/>
    <mergeCell ref="K53:K56"/>
    <mergeCell ref="M53:M55"/>
    <mergeCell ref="L53:L55"/>
    <mergeCell ref="N53:N55"/>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N43:N45"/>
    <mergeCell ref="G38:G42"/>
    <mergeCell ref="K38:K41"/>
    <mergeCell ref="G53:G57"/>
    <mergeCell ref="L43:L45"/>
    <mergeCell ref="M43:M45"/>
    <mergeCell ref="K43:K46"/>
    <mergeCell ref="D43:D47"/>
    <mergeCell ref="I43:I46"/>
    <mergeCell ref="J43:J46"/>
    <mergeCell ref="I38:I41"/>
    <mergeCell ref="J38:J41"/>
    <mergeCell ref="L38:L40"/>
    <mergeCell ref="M38:M40"/>
    <mergeCell ref="J53:J56"/>
    <mergeCell ref="H53:H56"/>
    <mergeCell ref="I53:I56"/>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5:Q106"/>
    <mergeCell ref="R105:R106"/>
    <mergeCell ref="S105:S106"/>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N84:N86"/>
    <mergeCell ref="O84:O86"/>
    <mergeCell ref="P84:P85"/>
    <mergeCell ref="S89:S90"/>
    <mergeCell ref="N89:N91"/>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48:P49"/>
    <mergeCell ref="Q48:Q49"/>
    <mergeCell ref="R48:R49"/>
    <mergeCell ref="S48:S49"/>
    <mergeCell ref="S28:S29"/>
    <mergeCell ref="M105:M107"/>
    <mergeCell ref="N105:N107"/>
    <mergeCell ref="O105:O107"/>
    <mergeCell ref="P105:P106"/>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S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J54">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type="textLength" operator="lessThanOrEqual" allowBlank="1" showInputMessage="1" showErrorMessage="1" errorTitle="Ошибка" error="Допускается ввод не более 900 символов!" sqref="V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O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K53"/>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89:S90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32" t="s">
        <v>1177</v>
      </c>
      <c r="E5" s="2232"/>
      <c r="F5" s="2232"/>
      <c r="G5" s="2232"/>
      <c r="H5" s="2232"/>
      <c r="I5" s="2232"/>
      <c r="J5" s="2232"/>
      <c r="V5" s="442">
        <v>63</v>
      </c>
    </row>
    <row r="6" spans="1:22" ht="15.75" customHeight="1">
      <c r="C6" s="114"/>
      <c r="D6" s="2204" t="str">
        <f>IF(org=0,"Не определено",org)</f>
        <v>ООО ПКФ "Энергетик-2001"</v>
      </c>
      <c r="E6" s="2204"/>
      <c r="F6" s="2204"/>
      <c r="G6" s="2204"/>
      <c r="H6" s="2204"/>
      <c r="I6" s="2204"/>
      <c r="J6" s="2204"/>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49" t="s">
        <v>106</v>
      </c>
      <c r="F9" s="2350"/>
      <c r="G9" s="2374" t="str">
        <f>IF(G8="","",INDEX(DIFFERENTIATION_UNMERGE_VD,MATCH(G8,DIFFERENTIATION_ID_DIFF,0)))</f>
        <v/>
      </c>
      <c r="H9" s="2375"/>
      <c r="I9" s="2374">
        <f>IF(I8="","",INDEX(DIFFERENTIATION_UNMERGE_VD,MATCH(I8,DIFFERENTIATION_ID_DIFF,0)))</f>
        <v>0</v>
      </c>
      <c r="J9" s="2375"/>
      <c r="K9" s="2184" t="s">
        <v>307</v>
      </c>
      <c r="V9" s="442">
        <v>15</v>
      </c>
    </row>
    <row r="10" spans="1:22" s="1562" customFormat="1" ht="15.75" customHeight="1">
      <c r="A10" s="694"/>
      <c r="C10" s="114"/>
      <c r="D10" s="648"/>
      <c r="E10" s="2349" t="s">
        <v>577</v>
      </c>
      <c r="F10" s="2350"/>
      <c r="G10" s="2374" t="str">
        <f>IF(G8="","",INDEX(DIFFERENTIATION_UNMERGE_AREA,MATCH(G8,DIFFERENTIATION_ID_DIFF,0)))</f>
        <v/>
      </c>
      <c r="H10" s="2375"/>
      <c r="I10" s="2374" t="str">
        <f>IF(I8="","",INDEX(DIFFERENTIATION_UNMERGE_AREA,MATCH(I8,DIFFERENTIATION_ID_DIFF,0)))</f>
        <v/>
      </c>
      <c r="J10" s="2375"/>
      <c r="K10" s="2189"/>
      <c r="U10" s="612"/>
      <c r="V10" s="693">
        <v>15</v>
      </c>
    </row>
    <row r="11" spans="1:22" s="1562" customFormat="1" ht="15.75" customHeight="1">
      <c r="A11" s="694"/>
      <c r="C11" s="114"/>
      <c r="D11" s="648"/>
      <c r="E11" s="2349" t="s">
        <v>578</v>
      </c>
      <c r="F11" s="2350"/>
      <c r="G11" s="2374" t="str">
        <f>IF(G8="","",INDEX(DIFFERENTIATION_UNMERGE_SYSTEM,MATCH(G8,DIFFERENTIATION_ID_DIFF,0)))</f>
        <v/>
      </c>
      <c r="H11" s="2375"/>
      <c r="I11" s="2374" t="str">
        <f>IF(I8="","",INDEX(DIFFERENTIATION_UNMERGE_SYSTEM,MATCH(I8,DIFFERENTIATION_ID_DIFF,0)))</f>
        <v>без дифференциации</v>
      </c>
      <c r="J11" s="2375"/>
      <c r="K11" s="2189"/>
      <c r="U11" s="612"/>
      <c r="V11" s="693">
        <v>15</v>
      </c>
    </row>
    <row r="12" spans="1:22" s="1562" customFormat="1" ht="15.75" customHeight="1">
      <c r="A12" s="694"/>
      <c r="C12" s="114"/>
      <c r="D12" s="2351" t="s">
        <v>306</v>
      </c>
      <c r="E12" s="2352"/>
      <c r="F12" s="2352"/>
      <c r="G12" s="817"/>
      <c r="H12" s="817"/>
      <c r="I12" s="817"/>
      <c r="J12" s="817"/>
      <c r="K12" s="2189"/>
      <c r="U12" s="612"/>
      <c r="V12" s="693">
        <v>15</v>
      </c>
    </row>
    <row r="13" spans="1:22" ht="35.65" customHeight="1">
      <c r="C13" s="114"/>
      <c r="D13" s="736" t="s">
        <v>88</v>
      </c>
      <c r="E13" s="738" t="s">
        <v>308</v>
      </c>
      <c r="F13" s="738" t="s">
        <v>579</v>
      </c>
      <c r="G13" s="739" t="s">
        <v>309</v>
      </c>
      <c r="H13" s="738" t="s">
        <v>396</v>
      </c>
      <c r="I13" s="739" t="s">
        <v>309</v>
      </c>
      <c r="J13" s="738" t="s">
        <v>396</v>
      </c>
      <c r="K13" s="2237"/>
      <c r="V13" s="442">
        <v>34</v>
      </c>
    </row>
    <row r="14" spans="1:22" ht="15" hidden="1" customHeight="1">
      <c r="C14" s="114"/>
      <c r="D14" s="530" t="s">
        <v>110</v>
      </c>
      <c r="E14" s="530" t="s">
        <v>111</v>
      </c>
      <c r="F14" s="530" t="s">
        <v>90</v>
      </c>
      <c r="G14" s="596" t="str">
        <f>G1&amp;".1"</f>
        <v>4.1</v>
      </c>
      <c r="H14" s="596"/>
      <c r="I14" s="596" t="str">
        <f>I1&amp;".1"</f>
        <v>4.1</v>
      </c>
      <c r="J14" s="596"/>
      <c r="K14" s="227"/>
      <c r="V14" s="442">
        <v>0</v>
      </c>
    </row>
    <row r="15" spans="1:22" ht="22.5" hidden="1" customHeight="1">
      <c r="A15" s="442"/>
      <c r="C15" s="463"/>
      <c r="D15" s="458">
        <v>1</v>
      </c>
      <c r="E15" s="614" t="s">
        <v>821</v>
      </c>
      <c r="F15" s="458" t="s">
        <v>822</v>
      </c>
      <c r="G15" s="615"/>
      <c r="H15" s="615"/>
      <c r="I15" s="615"/>
      <c r="J15" s="615"/>
      <c r="K15" s="227" t="s">
        <v>823</v>
      </c>
      <c r="V15" s="442">
        <v>0</v>
      </c>
    </row>
    <row r="16" spans="1:22" ht="22.5" hidden="1" customHeight="1">
      <c r="A16" s="442"/>
      <c r="C16" s="463"/>
      <c r="D16" s="458">
        <v>2</v>
      </c>
      <c r="E16" s="217" t="s">
        <v>824</v>
      </c>
      <c r="F16" s="458" t="s">
        <v>825</v>
      </c>
      <c r="G16" s="615"/>
      <c r="H16" s="615"/>
      <c r="I16" s="615"/>
      <c r="J16" s="615"/>
      <c r="K16" s="227" t="s">
        <v>826</v>
      </c>
      <c r="V16" s="442">
        <v>0</v>
      </c>
    </row>
    <row r="17" spans="1:22" ht="123.75" hidden="1" customHeight="1">
      <c r="A17" s="442"/>
      <c r="C17" s="463"/>
      <c r="D17" s="458">
        <v>3</v>
      </c>
      <c r="E17" s="217" t="s">
        <v>1178</v>
      </c>
      <c r="F17" s="458" t="s">
        <v>312</v>
      </c>
      <c r="G17" s="615"/>
      <c r="H17" s="615"/>
      <c r="I17" s="615"/>
      <c r="J17" s="615"/>
      <c r="K17" s="227" t="s">
        <v>1179</v>
      </c>
      <c r="V17" s="442">
        <v>0</v>
      </c>
    </row>
    <row r="18" spans="1:22" ht="48.2" customHeight="1">
      <c r="A18" s="442"/>
      <c r="C18" s="463"/>
      <c r="D18" s="458">
        <v>3</v>
      </c>
      <c r="E18" s="217" t="s">
        <v>827</v>
      </c>
      <c r="F18" s="458" t="s">
        <v>312</v>
      </c>
      <c r="G18" s="740" t="s">
        <v>312</v>
      </c>
      <c r="H18" s="741" t="s">
        <v>312</v>
      </c>
      <c r="I18" s="458" t="s">
        <v>312</v>
      </c>
      <c r="J18" s="515" t="s">
        <v>312</v>
      </c>
      <c r="K18" s="227" t="s">
        <v>1180</v>
      </c>
      <c r="V18" s="442">
        <v>46</v>
      </c>
    </row>
    <row r="19" spans="1:22" ht="35.65" customHeight="1">
      <c r="A19" s="442"/>
      <c r="C19" s="463"/>
      <c r="D19" s="476" t="s">
        <v>330</v>
      </c>
      <c r="E19" s="496" t="s">
        <v>829</v>
      </c>
      <c r="F19" s="458" t="s">
        <v>830</v>
      </c>
      <c r="G19" s="748"/>
      <c r="H19" s="46"/>
      <c r="I19" s="748"/>
      <c r="J19" s="749"/>
      <c r="K19" s="616"/>
      <c r="V19" s="442">
        <v>34</v>
      </c>
    </row>
    <row r="20" spans="1:22" ht="35.65" customHeight="1">
      <c r="A20" s="442"/>
      <c r="C20" s="463"/>
      <c r="D20" s="1815" t="s">
        <v>338</v>
      </c>
      <c r="E20" s="496" t="s">
        <v>831</v>
      </c>
      <c r="F20" s="458" t="s">
        <v>832</v>
      </c>
      <c r="G20" s="748"/>
      <c r="H20" s="46"/>
      <c r="I20" s="748"/>
      <c r="J20" s="46"/>
      <c r="K20" s="616"/>
      <c r="V20" s="442">
        <v>34</v>
      </c>
    </row>
    <row r="21" spans="1:22" ht="48.2" customHeight="1">
      <c r="A21" s="442"/>
      <c r="C21" s="463"/>
      <c r="D21" s="1815" t="s">
        <v>340</v>
      </c>
      <c r="E21" s="496" t="s">
        <v>833</v>
      </c>
      <c r="F21" s="458" t="s">
        <v>584</v>
      </c>
      <c r="G21" s="617"/>
      <c r="H21" s="46"/>
      <c r="I21" s="617"/>
      <c r="J21" s="46"/>
      <c r="K21" s="616"/>
      <c r="V21" s="442">
        <v>46</v>
      </c>
    </row>
    <row r="22" spans="1:22" ht="67.5" hidden="1" customHeight="1">
      <c r="A22" s="442"/>
      <c r="C22" s="463"/>
      <c r="D22" s="458">
        <v>5</v>
      </c>
      <c r="E22" s="217" t="s">
        <v>1181</v>
      </c>
      <c r="F22" s="458" t="s">
        <v>571</v>
      </c>
      <c r="G22" s="618"/>
      <c r="H22" s="619"/>
      <c r="I22" s="618"/>
      <c r="J22" s="619"/>
      <c r="K22" s="227" t="s">
        <v>1182</v>
      </c>
      <c r="V22" s="442">
        <v>0</v>
      </c>
    </row>
    <row r="23" spans="1:22" ht="33.75" hidden="1" customHeight="1">
      <c r="C23" s="388"/>
      <c r="D23" s="458">
        <v>6</v>
      </c>
      <c r="E23" s="217" t="s">
        <v>1183</v>
      </c>
      <c r="F23" s="458" t="s">
        <v>1184</v>
      </c>
      <c r="G23" s="618"/>
      <c r="H23" s="618"/>
      <c r="I23" s="618"/>
      <c r="J23" s="618"/>
      <c r="K23" s="227" t="s">
        <v>1185</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1186</v>
      </c>
      <c r="B1" s="997" t="s">
        <v>1187</v>
      </c>
      <c r="C1" s="997" t="s">
        <v>1188</v>
      </c>
      <c r="D1" s="997" t="s">
        <v>1189</v>
      </c>
      <c r="E1" s="997" t="s">
        <v>1190</v>
      </c>
      <c r="F1" s="997" t="s">
        <v>1191</v>
      </c>
      <c r="G1" s="997" t="s">
        <v>1192</v>
      </c>
      <c r="H1" s="997" t="s">
        <v>1193</v>
      </c>
      <c r="I1" s="997" t="s">
        <v>1194</v>
      </c>
      <c r="J1" s="997" t="s">
        <v>1195</v>
      </c>
      <c r="K1" s="997" t="s">
        <v>1196</v>
      </c>
      <c r="L1" s="997" t="s">
        <v>1197</v>
      </c>
      <c r="M1" s="997"/>
      <c r="N1" s="997" t="s">
        <v>1198</v>
      </c>
      <c r="O1" s="997" t="s">
        <v>1199</v>
      </c>
      <c r="P1" s="997" t="s">
        <v>1200</v>
      </c>
      <c r="Q1" s="997" t="s">
        <v>1201</v>
      </c>
      <c r="R1" s="997" t="s">
        <v>1202</v>
      </c>
      <c r="S1" s="997" t="s">
        <v>1203</v>
      </c>
      <c r="T1" s="997" t="s">
        <v>1204</v>
      </c>
      <c r="U1" s="997" t="s">
        <v>1205</v>
      </c>
      <c r="V1" s="997"/>
      <c r="W1" s="728" t="s">
        <v>1206</v>
      </c>
      <c r="X1" s="997" t="s">
        <v>1207</v>
      </c>
      <c r="Y1" s="997" t="s">
        <v>1208</v>
      </c>
      <c r="Z1" s="997"/>
      <c r="AA1" s="997" t="s">
        <v>1209</v>
      </c>
      <c r="AB1" s="997"/>
      <c r="AC1" s="997" t="s">
        <v>1210</v>
      </c>
      <c r="AD1" s="997"/>
      <c r="AF1" s="997" t="s">
        <v>1211</v>
      </c>
      <c r="AH1" s="997" t="s">
        <v>1212</v>
      </c>
      <c r="AI1" s="997" t="s">
        <v>1213</v>
      </c>
      <c r="AK1" s="997" t="s">
        <v>1214</v>
      </c>
      <c r="AM1" s="997" t="s">
        <v>1215</v>
      </c>
      <c r="AP1" s="997" t="s">
        <v>1216</v>
      </c>
      <c r="AQ1" s="997" t="s">
        <v>1217</v>
      </c>
      <c r="AS1" s="997" t="s">
        <v>1218</v>
      </c>
      <c r="AU1" s="997" t="s">
        <v>1219</v>
      </c>
      <c r="AW1" s="997" t="s">
        <v>1220</v>
      </c>
      <c r="AX1" s="997" t="s">
        <v>1221</v>
      </c>
      <c r="AZ1" s="1079" t="s">
        <v>1222</v>
      </c>
      <c r="BB1" s="997" t="s">
        <v>1223</v>
      </c>
      <c r="BC1" s="997"/>
      <c r="BE1" s="997" t="s">
        <v>1224</v>
      </c>
      <c r="BF1" s="997" t="s">
        <v>1225</v>
      </c>
      <c r="BH1" s="999" t="s">
        <v>820</v>
      </c>
      <c r="BI1" s="1000"/>
      <c r="BJ1" s="1001" t="s">
        <v>1226</v>
      </c>
      <c r="BK1" s="1000"/>
      <c r="BL1" s="1002" t="s">
        <v>919</v>
      </c>
      <c r="BM1" s="1000"/>
      <c r="BN1" s="1003" t="s">
        <v>1227</v>
      </c>
    </row>
    <row r="2" spans="1:79" ht="11.25" customHeight="1">
      <c r="A2" s="1004" t="s">
        <v>1228</v>
      </c>
      <c r="B2" s="1005">
        <v>2000</v>
      </c>
      <c r="C2" s="1005">
        <v>2022</v>
      </c>
      <c r="D2" s="1005" t="s">
        <v>66</v>
      </c>
      <c r="E2" s="1006" t="s">
        <v>1229</v>
      </c>
      <c r="F2" s="1006" t="s">
        <v>1230</v>
      </c>
      <c r="G2" s="1006" t="s">
        <v>1231</v>
      </c>
      <c r="H2" s="1007" t="s">
        <v>55</v>
      </c>
      <c r="I2" s="1006" t="s">
        <v>110</v>
      </c>
      <c r="J2" s="1006" t="s">
        <v>1232</v>
      </c>
      <c r="K2" s="1008" t="s">
        <v>1164</v>
      </c>
      <c r="L2" s="1009"/>
      <c r="M2" s="1008">
        <v>1</v>
      </c>
      <c r="N2" s="1089" t="s">
        <v>1233</v>
      </c>
      <c r="O2" s="1007" t="s">
        <v>454</v>
      </c>
      <c r="P2" s="1010" t="s">
        <v>37</v>
      </c>
      <c r="Q2" s="1011" t="s">
        <v>453</v>
      </c>
      <c r="R2" s="82" t="s">
        <v>1234</v>
      </c>
      <c r="S2" s="82" t="s">
        <v>489</v>
      </c>
      <c r="T2" s="1012" t="s">
        <v>490</v>
      </c>
      <c r="U2" s="1009" t="s">
        <v>1235</v>
      </c>
      <c r="V2" s="1013">
        <v>1</v>
      </c>
      <c r="W2" s="1014"/>
      <c r="X2" s="1014" t="s">
        <v>1236</v>
      </c>
      <c r="Y2" s="1005" t="s">
        <v>1237</v>
      </c>
      <c r="Z2" s="1015"/>
      <c r="AA2" s="1005" t="s">
        <v>1238</v>
      </c>
      <c r="AB2" s="1016" t="s">
        <v>1238</v>
      </c>
      <c r="AC2" s="1005" t="s">
        <v>1239</v>
      </c>
      <c r="AD2" s="1016" t="s">
        <v>1239</v>
      </c>
      <c r="AF2" s="1007" t="s">
        <v>1235</v>
      </c>
      <c r="AH2" s="1006" t="s">
        <v>1240</v>
      </c>
      <c r="AI2" s="1006" t="s">
        <v>1240</v>
      </c>
      <c r="AK2" s="1006" t="s">
        <v>1241</v>
      </c>
      <c r="AM2" s="1006" t="s">
        <v>1242</v>
      </c>
      <c r="AP2" s="1017" t="s">
        <v>1236</v>
      </c>
      <c r="AQ2" s="1018" t="s">
        <v>1236</v>
      </c>
      <c r="AS2" s="1005" t="s">
        <v>1243</v>
      </c>
      <c r="AU2" s="1047" t="s">
        <v>1244</v>
      </c>
      <c r="AW2" s="1047" t="s">
        <v>1245</v>
      </c>
      <c r="AX2" s="1047" t="s">
        <v>1245</v>
      </c>
      <c r="AZ2" s="1047" t="s">
        <v>53</v>
      </c>
      <c r="BB2" s="1047" t="s">
        <v>1246</v>
      </c>
      <c r="BC2" s="1047" t="s">
        <v>1247</v>
      </c>
      <c r="BE2" s="1047">
        <v>2000</v>
      </c>
      <c r="BF2" s="1047" t="s">
        <v>1248</v>
      </c>
    </row>
    <row r="3" spans="1:79" ht="11.25" customHeight="1">
      <c r="A3" s="1004" t="s">
        <v>1249</v>
      </c>
      <c r="B3" s="1005">
        <v>2001</v>
      </c>
      <c r="C3" s="1005">
        <v>2023</v>
      </c>
      <c r="D3" s="1005" t="s">
        <v>19</v>
      </c>
      <c r="E3" s="1006" t="s">
        <v>1250</v>
      </c>
      <c r="F3" s="1006" t="s">
        <v>1251</v>
      </c>
      <c r="G3" s="1006" t="s">
        <v>1252</v>
      </c>
      <c r="H3" s="1007" t="s">
        <v>1253</v>
      </c>
      <c r="I3" s="1006" t="s">
        <v>111</v>
      </c>
      <c r="J3" s="1006" t="s">
        <v>569</v>
      </c>
      <c r="K3" s="1008" t="s">
        <v>1163</v>
      </c>
      <c r="L3" s="1009">
        <f>IFERROR(MATCH(K3,OFFER_METHOD,0),0)</f>
        <v>4</v>
      </c>
      <c r="M3" s="1008">
        <v>2</v>
      </c>
      <c r="N3" s="1089" t="s">
        <v>1254</v>
      </c>
      <c r="O3" s="1007" t="s">
        <v>1255</v>
      </c>
      <c r="P3" s="1010" t="s">
        <v>1256</v>
      </c>
      <c r="Q3" s="1011" t="s">
        <v>1257</v>
      </c>
      <c r="R3" s="82" t="s">
        <v>1258</v>
      </c>
      <c r="S3" s="82" t="s">
        <v>492</v>
      </c>
      <c r="T3" s="1012" t="s">
        <v>493</v>
      </c>
      <c r="U3" s="1009" t="s">
        <v>1259</v>
      </c>
      <c r="V3" s="1013">
        <v>2</v>
      </c>
      <c r="W3" s="1014"/>
      <c r="X3" s="1014" t="s">
        <v>1260</v>
      </c>
      <c r="Y3" s="1005" t="s">
        <v>1237</v>
      </c>
      <c r="Z3" s="1015"/>
      <c r="AA3" s="1005" t="s">
        <v>1261</v>
      </c>
      <c r="AB3" s="1016" t="s">
        <v>1261</v>
      </c>
      <c r="AC3" s="1005" t="s">
        <v>1262</v>
      </c>
      <c r="AD3" s="1016" t="s">
        <v>1262</v>
      </c>
      <c r="AF3" s="1007" t="s">
        <v>1259</v>
      </c>
      <c r="AH3" s="1006" t="s">
        <v>1263</v>
      </c>
      <c r="AI3" s="1006" t="s">
        <v>1264</v>
      </c>
      <c r="AK3" s="1006" t="s">
        <v>1265</v>
      </c>
      <c r="AM3" s="1006" t="s">
        <v>1266</v>
      </c>
      <c r="AP3" s="1017" t="s">
        <v>1267</v>
      </c>
      <c r="AQ3" s="1018" t="s">
        <v>1267</v>
      </c>
      <c r="AS3" s="1005" t="s">
        <v>1268</v>
      </c>
      <c r="AU3" s="1047" t="s">
        <v>1269</v>
      </c>
      <c r="AW3" s="1047" t="s">
        <v>1270</v>
      </c>
      <c r="AX3" s="1047" t="s">
        <v>1270</v>
      </c>
      <c r="AZ3" s="1047" t="s">
        <v>1271</v>
      </c>
      <c r="BB3" s="1047" t="s">
        <v>1272</v>
      </c>
      <c r="BC3" s="1047" t="s">
        <v>1247</v>
      </c>
      <c r="BE3" s="1047">
        <v>2001</v>
      </c>
      <c r="BF3" s="1047" t="s">
        <v>1273</v>
      </c>
      <c r="BH3" s="997" t="s">
        <v>1274</v>
      </c>
      <c r="BJ3" s="997" t="s">
        <v>1275</v>
      </c>
      <c r="BL3" s="997" t="s">
        <v>1276</v>
      </c>
      <c r="BN3" s="997" t="s">
        <v>1277</v>
      </c>
      <c r="BR3" s="997" t="s">
        <v>1278</v>
      </c>
      <c r="BS3" s="1355"/>
      <c r="BT3" s="1000"/>
      <c r="BU3" s="997" t="s">
        <v>1279</v>
      </c>
      <c r="BV3" s="1000"/>
      <c r="BW3" s="1617"/>
      <c r="BX3" s="1619" t="s">
        <v>1280</v>
      </c>
      <c r="CA3" s="997" t="s">
        <v>1281</v>
      </c>
    </row>
    <row r="4" spans="1:79" ht="11.25" customHeight="1">
      <c r="A4" s="1004" t="s">
        <v>1282</v>
      </c>
      <c r="B4" s="1005">
        <v>2002</v>
      </c>
      <c r="C4" s="1005">
        <v>2024</v>
      </c>
      <c r="E4" s="1006" t="s">
        <v>1283</v>
      </c>
      <c r="F4" s="1006" t="s">
        <v>1284</v>
      </c>
      <c r="H4" s="1007" t="s">
        <v>1285</v>
      </c>
      <c r="I4" s="1006" t="s">
        <v>90</v>
      </c>
      <c r="J4" s="1006" t="s">
        <v>1286</v>
      </c>
      <c r="K4" s="1008" t="s">
        <v>1287</v>
      </c>
      <c r="L4" s="1009">
        <f>IFERROR(MATCH(K4,OFFER_METHOD,0),0)</f>
        <v>0</v>
      </c>
      <c r="M4" s="1008">
        <v>3</v>
      </c>
      <c r="N4" s="1089" t="s">
        <v>1288</v>
      </c>
      <c r="O4" s="1006" t="s">
        <v>1289</v>
      </c>
      <c r="Q4" s="1011" t="s">
        <v>1290</v>
      </c>
      <c r="R4" s="82" t="s">
        <v>1291</v>
      </c>
      <c r="S4" s="82" t="s">
        <v>1292</v>
      </c>
      <c r="T4" s="1012" t="s">
        <v>1293</v>
      </c>
      <c r="U4" s="1009" t="s">
        <v>1294</v>
      </c>
      <c r="V4" s="1013">
        <v>3</v>
      </c>
      <c r="W4" s="1014"/>
      <c r="X4" s="1014" t="s">
        <v>1295</v>
      </c>
      <c r="Y4" s="1005" t="s">
        <v>1237</v>
      </c>
      <c r="Z4" s="1020"/>
      <c r="AC4" s="1005" t="s">
        <v>1296</v>
      </c>
      <c r="AD4" s="1016" t="s">
        <v>1296</v>
      </c>
      <c r="AF4" s="1007" t="s">
        <v>1294</v>
      </c>
      <c r="AH4" s="1007" t="s">
        <v>1297</v>
      </c>
      <c r="AK4" s="1006" t="s">
        <v>1298</v>
      </c>
      <c r="AM4" s="1006" t="s">
        <v>1299</v>
      </c>
      <c r="AP4" s="1017" t="s">
        <v>1260</v>
      </c>
      <c r="AQ4" s="1018" t="s">
        <v>1260</v>
      </c>
      <c r="AS4" s="1005" t="s">
        <v>1300</v>
      </c>
      <c r="AU4" s="1047" t="s">
        <v>1301</v>
      </c>
      <c r="AW4" s="1047" t="s">
        <v>1302</v>
      </c>
      <c r="AX4" s="1047" t="s">
        <v>1302</v>
      </c>
      <c r="AZ4" s="1047" t="s">
        <v>1303</v>
      </c>
      <c r="BB4" s="1047" t="s">
        <v>1304</v>
      </c>
      <c r="BC4" s="1047" t="s">
        <v>1305</v>
      </c>
      <c r="BE4" s="1047">
        <v>2002</v>
      </c>
      <c r="BF4" s="1047" t="s">
        <v>1306</v>
      </c>
      <c r="BH4" s="998" t="s">
        <v>1307</v>
      </c>
      <c r="BJ4" s="998" t="s">
        <v>1307</v>
      </c>
      <c r="BL4" s="998" t="s">
        <v>1307</v>
      </c>
      <c r="BN4" s="998" t="s">
        <v>1307</v>
      </c>
      <c r="BQ4" s="1359" t="s">
        <v>1308</v>
      </c>
      <c r="BR4" s="1086" t="s">
        <v>1309</v>
      </c>
      <c r="BS4" s="212"/>
      <c r="BT4" s="1359" t="s">
        <v>1310</v>
      </c>
      <c r="BU4" s="1086" t="s">
        <v>1311</v>
      </c>
      <c r="BV4" s="1000"/>
      <c r="BW4" s="1624" t="s">
        <v>1312</v>
      </c>
      <c r="BX4" s="1618" t="s">
        <v>1313</v>
      </c>
      <c r="BZ4" s="1359" t="s">
        <v>1314</v>
      </c>
      <c r="CA4" s="1086" t="s">
        <v>1315</v>
      </c>
    </row>
    <row r="5" spans="1:79" ht="11.25" customHeight="1">
      <c r="A5" s="1004" t="s">
        <v>1316</v>
      </c>
      <c r="B5" s="1005">
        <v>2003</v>
      </c>
      <c r="C5" s="1005">
        <v>2025</v>
      </c>
      <c r="E5" s="1006" t="s">
        <v>1317</v>
      </c>
      <c r="F5" s="1006" t="s">
        <v>1318</v>
      </c>
      <c r="H5" s="1007" t="s">
        <v>1319</v>
      </c>
      <c r="I5" s="1006" t="s">
        <v>91</v>
      </c>
      <c r="K5" s="1008" t="s">
        <v>1320</v>
      </c>
      <c r="L5" s="1009">
        <f>IFERROR(MATCH(K5,OFFER_METHOD,0),0)</f>
        <v>0</v>
      </c>
      <c r="M5" s="1008">
        <v>4</v>
      </c>
      <c r="N5" s="1021" t="s">
        <v>1321</v>
      </c>
      <c r="O5" s="1006" t="s">
        <v>1322</v>
      </c>
      <c r="Q5" s="1011" t="s">
        <v>1323</v>
      </c>
      <c r="R5" s="82" t="s">
        <v>1324</v>
      </c>
      <c r="T5" s="1007" t="s">
        <v>1325</v>
      </c>
      <c r="U5" s="1009" t="s">
        <v>1326</v>
      </c>
      <c r="V5" s="1013">
        <v>4</v>
      </c>
      <c r="W5" s="1014"/>
      <c r="X5" s="1014" t="s">
        <v>173</v>
      </c>
      <c r="Y5" s="1005" t="s">
        <v>1327</v>
      </c>
      <c r="Z5" s="1020">
        <v>1</v>
      </c>
      <c r="AF5" s="1007" t="s">
        <v>1328</v>
      </c>
      <c r="AH5" s="1006" t="s">
        <v>1329</v>
      </c>
      <c r="AK5" s="1006" t="s">
        <v>1330</v>
      </c>
      <c r="AM5" s="1006" t="s">
        <v>1331</v>
      </c>
      <c r="AP5" s="1017" t="s">
        <v>173</v>
      </c>
      <c r="AQ5" s="1018" t="s">
        <v>173</v>
      </c>
      <c r="AU5" s="1047" t="s">
        <v>1332</v>
      </c>
      <c r="AW5" s="1047" t="s">
        <v>1333</v>
      </c>
      <c r="AX5" s="1047" t="s">
        <v>1333</v>
      </c>
      <c r="AZ5" s="1047" t="s">
        <v>1334</v>
      </c>
      <c r="BB5" s="1047" t="s">
        <v>1335</v>
      </c>
      <c r="BC5" s="1047" t="s">
        <v>1336</v>
      </c>
      <c r="BE5" s="1047">
        <v>2003</v>
      </c>
      <c r="BF5" s="1047" t="s">
        <v>1337</v>
      </c>
      <c r="BH5" s="998" t="s">
        <v>1338</v>
      </c>
      <c r="BJ5" s="998" t="s">
        <v>1338</v>
      </c>
      <c r="BL5" s="998" t="s">
        <v>1338</v>
      </c>
      <c r="BN5" s="998" t="s">
        <v>1339</v>
      </c>
      <c r="BQ5" s="1208">
        <v>4213775</v>
      </c>
      <c r="BR5" s="998" t="s">
        <v>1236</v>
      </c>
      <c r="BS5" s="1356"/>
      <c r="BT5" s="1208">
        <v>64236871</v>
      </c>
      <c r="BU5" s="998" t="s">
        <v>235</v>
      </c>
      <c r="BV5" s="1000"/>
      <c r="BW5" s="1622">
        <v>4213767</v>
      </c>
      <c r="BX5" s="1620" t="s">
        <v>1340</v>
      </c>
      <c r="BZ5" s="1208">
        <v>64237509</v>
      </c>
      <c r="CA5" s="1222" t="s">
        <v>1341</v>
      </c>
    </row>
    <row r="6" spans="1:79" ht="11.25" customHeight="1">
      <c r="A6" s="1004" t="s">
        <v>1342</v>
      </c>
      <c r="B6" s="1005">
        <v>2004</v>
      </c>
      <c r="C6" s="1005">
        <v>2026</v>
      </c>
      <c r="E6" s="1006" t="s">
        <v>1343</v>
      </c>
      <c r="F6" s="1022"/>
      <c r="H6" s="1007" t="s">
        <v>1344</v>
      </c>
      <c r="I6" s="1006" t="s">
        <v>112</v>
      </c>
      <c r="J6" s="997" t="s">
        <v>1345</v>
      </c>
      <c r="L6" s="1009">
        <f>SUM(kind_of_control_method_filter)</f>
        <v>4</v>
      </c>
      <c r="N6" s="1021" t="s">
        <v>1346</v>
      </c>
      <c r="O6" s="1006" t="s">
        <v>1347</v>
      </c>
      <c r="R6" s="82" t="s">
        <v>453</v>
      </c>
      <c r="T6" s="1007" t="s">
        <v>1348</v>
      </c>
      <c r="U6" s="1009" t="s">
        <v>1328</v>
      </c>
      <c r="V6" s="1013">
        <v>5</v>
      </c>
      <c r="W6" s="1014"/>
      <c r="X6" s="1005" t="s">
        <v>179</v>
      </c>
      <c r="Y6" s="1005" t="s">
        <v>1349</v>
      </c>
      <c r="Z6" s="1020"/>
      <c r="AA6" s="1023"/>
      <c r="AH6" s="1006" t="s">
        <v>1350</v>
      </c>
      <c r="AK6" s="1006" t="s">
        <v>1351</v>
      </c>
      <c r="AM6" s="1006" t="s">
        <v>1352</v>
      </c>
      <c r="AP6" s="1017" t="s">
        <v>179</v>
      </c>
      <c r="AQ6" s="1018" t="s">
        <v>179</v>
      </c>
      <c r="AU6" s="1047" t="s">
        <v>1353</v>
      </c>
      <c r="AW6" s="1047" t="s">
        <v>1354</v>
      </c>
      <c r="AX6" s="1047" t="s">
        <v>1354</v>
      </c>
      <c r="BB6" s="1047" t="s">
        <v>1355</v>
      </c>
      <c r="BC6" s="1047" t="s">
        <v>1336</v>
      </c>
      <c r="BE6" s="1047">
        <v>2004</v>
      </c>
      <c r="BF6" s="1047" t="s">
        <v>1356</v>
      </c>
      <c r="BH6" s="998" t="s">
        <v>1357</v>
      </c>
      <c r="BJ6" s="998" t="s">
        <v>1358</v>
      </c>
      <c r="BL6" s="998" t="s">
        <v>1358</v>
      </c>
      <c r="BN6" s="998" t="s">
        <v>1359</v>
      </c>
      <c r="BQ6" s="1208">
        <v>4213784</v>
      </c>
      <c r="BR6" s="1222" t="s">
        <v>1267</v>
      </c>
      <c r="BS6" s="1357"/>
      <c r="BT6" s="1208">
        <v>64236872</v>
      </c>
      <c r="BU6" s="998" t="s">
        <v>240</v>
      </c>
      <c r="BV6" s="1000"/>
      <c r="BW6" s="1622">
        <v>4213768</v>
      </c>
      <c r="BX6" s="1620" t="s">
        <v>260</v>
      </c>
      <c r="BZ6" s="1208">
        <v>64237510</v>
      </c>
      <c r="CA6" s="998" t="s">
        <v>1360</v>
      </c>
    </row>
    <row r="7" spans="1:79" ht="11.25" customHeight="1">
      <c r="A7" s="1004" t="s">
        <v>1361</v>
      </c>
      <c r="B7" s="1005">
        <v>2005</v>
      </c>
      <c r="E7" s="1006" t="s">
        <v>1362</v>
      </c>
      <c r="F7" s="1022"/>
      <c r="H7" s="1007" t="s">
        <v>1363</v>
      </c>
      <c r="I7" s="1006" t="s">
        <v>92</v>
      </c>
      <c r="J7" s="1006" t="s">
        <v>1364</v>
      </c>
      <c r="N7" s="1025" t="s">
        <v>1365</v>
      </c>
      <c r="O7" s="1006" t="s">
        <v>1366</v>
      </c>
      <c r="U7" s="1009" t="s">
        <v>19</v>
      </c>
      <c r="V7" s="307" t="s">
        <v>92</v>
      </c>
      <c r="W7" s="1014"/>
      <c r="X7" s="1005" t="s">
        <v>185</v>
      </c>
      <c r="Y7" s="1005" t="s">
        <v>1327</v>
      </c>
      <c r="Z7" s="1020"/>
      <c r="AA7" s="1023"/>
      <c r="AH7" s="1006" t="s">
        <v>1367</v>
      </c>
      <c r="AK7" s="1006" t="s">
        <v>1368</v>
      </c>
      <c r="AM7" s="1006" t="s">
        <v>1369</v>
      </c>
      <c r="AP7" s="1017" t="s">
        <v>185</v>
      </c>
      <c r="AQ7" s="1018" t="s">
        <v>185</v>
      </c>
      <c r="AU7" s="1047" t="s">
        <v>1370</v>
      </c>
      <c r="AW7" s="1047" t="s">
        <v>1371</v>
      </c>
      <c r="AX7" s="1047" t="s">
        <v>1371</v>
      </c>
      <c r="AZ7" s="997" t="s">
        <v>1372</v>
      </c>
      <c r="BB7" s="1047" t="s">
        <v>1373</v>
      </c>
      <c r="BC7" s="1047" t="s">
        <v>1336</v>
      </c>
      <c r="BE7" s="1047">
        <v>2005</v>
      </c>
      <c r="BF7" s="1047" t="s">
        <v>1374</v>
      </c>
      <c r="BH7" s="998" t="s">
        <v>1375</v>
      </c>
      <c r="BJ7" s="998" t="s">
        <v>1357</v>
      </c>
      <c r="BL7" s="998" t="s">
        <v>1357</v>
      </c>
      <c r="BN7" s="998" t="s">
        <v>1376</v>
      </c>
      <c r="BQ7" s="1208">
        <v>4213781</v>
      </c>
      <c r="BR7" s="998" t="s">
        <v>1260</v>
      </c>
      <c r="BS7" s="1356"/>
      <c r="BT7" s="1208">
        <v>64236873</v>
      </c>
      <c r="BU7" s="998" t="s">
        <v>245</v>
      </c>
      <c r="BV7" s="1000"/>
      <c r="BW7" s="1622">
        <v>4213769</v>
      </c>
      <c r="BX7" s="1620" t="s">
        <v>1377</v>
      </c>
      <c r="BZ7" s="1208">
        <v>64237511</v>
      </c>
      <c r="CA7" s="998" t="s">
        <v>275</v>
      </c>
    </row>
    <row r="8" spans="1:79" ht="11.25" customHeight="1">
      <c r="A8" s="1004" t="s">
        <v>1378</v>
      </c>
      <c r="B8" s="1005">
        <v>2006</v>
      </c>
      <c r="E8" s="1006" t="s">
        <v>1379</v>
      </c>
      <c r="F8" s="1022"/>
      <c r="H8" s="1007" t="s">
        <v>1380</v>
      </c>
      <c r="I8" s="1006" t="s">
        <v>93</v>
      </c>
      <c r="J8" s="1006" t="s">
        <v>1381</v>
      </c>
      <c r="N8" s="1090" t="s">
        <v>1382</v>
      </c>
      <c r="O8" s="1006" t="s">
        <v>1383</v>
      </c>
      <c r="V8" s="307" t="s">
        <v>93</v>
      </c>
      <c r="W8" s="1014"/>
      <c r="X8" s="1005" t="s">
        <v>191</v>
      </c>
      <c r="Y8" s="1005" t="s">
        <v>1327</v>
      </c>
      <c r="Z8" s="1020"/>
      <c r="AA8" s="1023"/>
      <c r="AK8" s="1006" t="s">
        <v>1384</v>
      </c>
      <c r="AP8" s="1017" t="s">
        <v>191</v>
      </c>
      <c r="AQ8" s="1018" t="s">
        <v>191</v>
      </c>
      <c r="AU8" s="1047" t="s">
        <v>1385</v>
      </c>
      <c r="AW8" s="1047" t="s">
        <v>1386</v>
      </c>
      <c r="AX8" s="1047" t="s">
        <v>1386</v>
      </c>
      <c r="AZ8" s="1047" t="s">
        <v>1387</v>
      </c>
      <c r="BB8" s="1047" t="s">
        <v>1388</v>
      </c>
      <c r="BC8" s="1047" t="s">
        <v>1336</v>
      </c>
      <c r="BE8" s="1047">
        <v>2006</v>
      </c>
      <c r="BF8" s="1047" t="s">
        <v>1389</v>
      </c>
      <c r="BH8" s="998" t="s">
        <v>1390</v>
      </c>
      <c r="BJ8" s="998" t="s">
        <v>1391</v>
      </c>
      <c r="BL8" s="998" t="s">
        <v>1391</v>
      </c>
      <c r="BN8" s="998" t="s">
        <v>1392</v>
      </c>
      <c r="BQ8" s="1208">
        <v>4213776</v>
      </c>
      <c r="BR8" s="998" t="s">
        <v>173</v>
      </c>
      <c r="BS8" s="1356"/>
      <c r="BT8" s="1208">
        <v>64236874</v>
      </c>
      <c r="BU8" s="1222" t="s">
        <v>1393</v>
      </c>
      <c r="BV8" s="1000"/>
      <c r="BW8" s="1622">
        <v>4213770</v>
      </c>
      <c r="BX8" s="1623" t="s">
        <v>1394</v>
      </c>
      <c r="BZ8" s="1208">
        <v>64237512</v>
      </c>
      <c r="CA8" s="998" t="s">
        <v>270</v>
      </c>
    </row>
    <row r="9" spans="1:79" ht="11.25" customHeight="1">
      <c r="A9" s="1004" t="s">
        <v>1395</v>
      </c>
      <c r="B9" s="1005">
        <v>2007</v>
      </c>
      <c r="E9" s="1006" t="s">
        <v>1396</v>
      </c>
      <c r="F9" s="1022"/>
      <c r="G9" s="997" t="s">
        <v>1397</v>
      </c>
      <c r="H9" s="997" t="s">
        <v>1398</v>
      </c>
      <c r="I9" s="1006" t="s">
        <v>113</v>
      </c>
      <c r="O9" s="1006" t="s">
        <v>1399</v>
      </c>
      <c r="V9" s="307" t="s">
        <v>113</v>
      </c>
      <c r="W9" s="1014"/>
      <c r="X9" s="1005" t="s">
        <v>197</v>
      </c>
      <c r="Y9" s="1005" t="s">
        <v>1237</v>
      </c>
      <c r="Z9" s="1020">
        <v>1</v>
      </c>
      <c r="AA9" s="1023"/>
      <c r="AK9" s="1006" t="s">
        <v>1400</v>
      </c>
      <c r="AP9" s="1017" t="s">
        <v>1401</v>
      </c>
      <c r="AQ9" s="1018" t="s">
        <v>1401</v>
      </c>
      <c r="AW9" s="1047" t="s">
        <v>1402</v>
      </c>
      <c r="AX9" s="1047" t="s">
        <v>1402</v>
      </c>
      <c r="AZ9" s="1047" t="s">
        <v>1403</v>
      </c>
      <c r="BB9" s="1047" t="s">
        <v>1404</v>
      </c>
      <c r="BC9" s="1047" t="s">
        <v>1336</v>
      </c>
      <c r="BE9" s="1047">
        <v>2007</v>
      </c>
      <c r="BF9" s="1047" t="s">
        <v>1405</v>
      </c>
      <c r="BH9" s="998" t="s">
        <v>1406</v>
      </c>
      <c r="BJ9" s="998" t="s">
        <v>1407</v>
      </c>
      <c r="BL9" s="998" t="s">
        <v>1407</v>
      </c>
      <c r="BN9" s="998" t="s">
        <v>1408</v>
      </c>
      <c r="BQ9" s="1208">
        <v>4213777</v>
      </c>
      <c r="BR9" s="998" t="s">
        <v>179</v>
      </c>
      <c r="BS9" s="1356"/>
      <c r="BT9" s="1208">
        <v>64236875</v>
      </c>
      <c r="BU9" s="998" t="s">
        <v>250</v>
      </c>
      <c r="BV9" s="1000"/>
      <c r="BW9" s="1617"/>
      <c r="BX9" s="1617"/>
    </row>
    <row r="10" spans="1:79" ht="11.25" customHeight="1">
      <c r="A10" s="1004" t="s">
        <v>1409</v>
      </c>
      <c r="B10" s="1005">
        <v>2008</v>
      </c>
      <c r="E10" s="1006" t="s">
        <v>1410</v>
      </c>
      <c r="F10" s="1022"/>
      <c r="G10" s="1006" t="s">
        <v>1411</v>
      </c>
      <c r="H10" s="1006" t="s">
        <v>1412</v>
      </c>
      <c r="I10" s="1006" t="s">
        <v>149</v>
      </c>
      <c r="J10" s="997" t="s">
        <v>1413</v>
      </c>
      <c r="K10" s="997" t="s">
        <v>1414</v>
      </c>
      <c r="O10" s="1006" t="s">
        <v>1415</v>
      </c>
      <c r="V10" s="308" t="s">
        <v>149</v>
      </c>
      <c r="W10" s="1026"/>
      <c r="X10" s="1026" t="s">
        <v>1416</v>
      </c>
      <c r="Y10" s="1027" t="s">
        <v>1417</v>
      </c>
      <c r="Z10" s="1020"/>
      <c r="AP10" s="1017" t="s">
        <v>1416</v>
      </c>
      <c r="AQ10" s="1018" t="s">
        <v>1416</v>
      </c>
      <c r="AW10" s="1047" t="s">
        <v>1418</v>
      </c>
      <c r="AX10" s="1047" t="s">
        <v>1418</v>
      </c>
      <c r="AZ10" s="1047" t="s">
        <v>1419</v>
      </c>
      <c r="BB10" s="1047" t="s">
        <v>1420</v>
      </c>
      <c r="BC10" s="1047" t="s">
        <v>1336</v>
      </c>
      <c r="BE10" s="1047">
        <v>2008</v>
      </c>
      <c r="BF10" s="1047" t="s">
        <v>1421</v>
      </c>
      <c r="BH10" s="998" t="s">
        <v>1422</v>
      </c>
      <c r="BJ10" s="998" t="s">
        <v>1423</v>
      </c>
      <c r="BL10" s="998" t="s">
        <v>1423</v>
      </c>
      <c r="BN10" s="998" t="s">
        <v>1424</v>
      </c>
      <c r="BQ10" s="1208">
        <v>4213778</v>
      </c>
      <c r="BR10" s="998" t="s">
        <v>185</v>
      </c>
      <c r="BS10" s="1356"/>
      <c r="BT10" s="1208">
        <v>64236876</v>
      </c>
      <c r="BU10" s="998" t="s">
        <v>230</v>
      </c>
      <c r="BV10" s="1000"/>
      <c r="BW10" s="1617"/>
      <c r="BX10" s="1617"/>
    </row>
    <row r="11" spans="1:79" ht="11.25" customHeight="1">
      <c r="A11" s="1004" t="s">
        <v>1425</v>
      </c>
      <c r="B11" s="1005">
        <v>2009</v>
      </c>
      <c r="E11" s="1006" t="s">
        <v>1426</v>
      </c>
      <c r="F11" s="1022"/>
      <c r="G11" s="1006" t="s">
        <v>1427</v>
      </c>
      <c r="H11" s="1006" t="s">
        <v>1428</v>
      </c>
      <c r="I11" s="1006" t="s">
        <v>150</v>
      </c>
      <c r="J11" s="1007" t="s">
        <v>1429</v>
      </c>
      <c r="K11" s="1028" t="s">
        <v>1430</v>
      </c>
      <c r="O11" s="1007" t="s">
        <v>1431</v>
      </c>
      <c r="V11" s="307" t="s">
        <v>150</v>
      </c>
      <c r="W11" s="213"/>
      <c r="X11" s="1014" t="s">
        <v>1401</v>
      </c>
      <c r="Y11" s="1005" t="s">
        <v>1432</v>
      </c>
      <c r="Z11" s="1020"/>
      <c r="AP11" s="1017" t="s">
        <v>197</v>
      </c>
      <c r="AQ11" s="1019" t="s">
        <v>197</v>
      </c>
      <c r="AW11" s="1047" t="s">
        <v>1433</v>
      </c>
      <c r="AX11" s="1047" t="s">
        <v>1433</v>
      </c>
      <c r="AZ11" s="1047" t="s">
        <v>1434</v>
      </c>
      <c r="BB11" s="1047" t="s">
        <v>1435</v>
      </c>
      <c r="BC11" s="1047" t="s">
        <v>1336</v>
      </c>
      <c r="BE11" s="1047">
        <v>2009</v>
      </c>
      <c r="BF11" s="1047" t="s">
        <v>1436</v>
      </c>
      <c r="BH11" s="998" t="s">
        <v>1437</v>
      </c>
      <c r="BJ11" s="998" t="s">
        <v>1406</v>
      </c>
      <c r="BL11" s="998" t="s">
        <v>1406</v>
      </c>
      <c r="BN11" s="998" t="s">
        <v>1438</v>
      </c>
      <c r="BQ11" s="1208">
        <v>4213780</v>
      </c>
      <c r="BR11" s="998" t="s">
        <v>191</v>
      </c>
      <c r="BS11" s="1356"/>
      <c r="BW11" s="1617"/>
      <c r="BX11" s="1617"/>
    </row>
    <row r="12" spans="1:79" ht="11.25" customHeight="1">
      <c r="A12" s="1004" t="s">
        <v>1439</v>
      </c>
      <c r="B12" s="1005">
        <v>2010</v>
      </c>
      <c r="E12" s="1006" t="s">
        <v>1440</v>
      </c>
      <c r="F12" s="1022"/>
      <c r="G12" s="1006" t="s">
        <v>1428</v>
      </c>
      <c r="I12" s="1006" t="s">
        <v>151</v>
      </c>
      <c r="J12" s="1007" t="s">
        <v>1441</v>
      </c>
      <c r="K12" s="1028" t="s">
        <v>1442</v>
      </c>
      <c r="O12" s="1007" t="s">
        <v>453</v>
      </c>
      <c r="V12" s="307" t="s">
        <v>151</v>
      </c>
      <c r="W12" s="1019"/>
      <c r="X12" s="1014" t="s">
        <v>1443</v>
      </c>
      <c r="Y12" s="1005" t="s">
        <v>1237</v>
      </c>
      <c r="AP12" s="1017"/>
      <c r="AW12" s="1047" t="s">
        <v>150</v>
      </c>
      <c r="AX12" s="1047" t="s">
        <v>150</v>
      </c>
      <c r="AZ12" s="1047" t="s">
        <v>1444</v>
      </c>
      <c r="BB12" s="1047" t="s">
        <v>1445</v>
      </c>
      <c r="BC12" s="1047" t="s">
        <v>1336</v>
      </c>
      <c r="BE12" s="1047">
        <v>2010</v>
      </c>
      <c r="BF12" s="1047" t="s">
        <v>1446</v>
      </c>
      <c r="BH12" s="998" t="s">
        <v>1447</v>
      </c>
      <c r="BJ12" s="998" t="s">
        <v>1448</v>
      </c>
      <c r="BL12" s="998" t="s">
        <v>1448</v>
      </c>
      <c r="BN12" s="998" t="s">
        <v>1449</v>
      </c>
      <c r="BQ12" s="1208">
        <v>4213779</v>
      </c>
      <c r="BR12" s="998" t="s">
        <v>1401</v>
      </c>
      <c r="BS12" s="1356"/>
      <c r="BT12" s="1000"/>
      <c r="BU12" s="1000"/>
      <c r="BV12" s="1000"/>
      <c r="BW12" s="1617"/>
      <c r="BX12" s="1617"/>
    </row>
    <row r="13" spans="1:79" ht="11.25" customHeight="1">
      <c r="A13" s="1004" t="s">
        <v>1450</v>
      </c>
      <c r="B13" s="1005">
        <v>2011</v>
      </c>
      <c r="E13" s="1006" t="s">
        <v>1451</v>
      </c>
      <c r="F13" s="1022"/>
      <c r="I13" s="1006" t="s">
        <v>152</v>
      </c>
      <c r="K13" s="1028" t="s">
        <v>1400</v>
      </c>
      <c r="V13" s="307" t="s">
        <v>152</v>
      </c>
      <c r="W13" s="1019"/>
      <c r="X13" s="1019"/>
      <c r="Y13" s="1019"/>
      <c r="AW13" s="1047" t="s">
        <v>151</v>
      </c>
      <c r="AX13" s="1047" t="s">
        <v>151</v>
      </c>
      <c r="BB13" s="1047" t="s">
        <v>1452</v>
      </c>
      <c r="BC13" s="1047" t="s">
        <v>1453</v>
      </c>
      <c r="BE13" s="1047">
        <v>2011</v>
      </c>
      <c r="BF13" s="1047" t="s">
        <v>1454</v>
      </c>
      <c r="BH13" s="998" t="s">
        <v>1455</v>
      </c>
      <c r="BJ13" s="998" t="s">
        <v>1437</v>
      </c>
      <c r="BL13" s="998" t="s">
        <v>1437</v>
      </c>
      <c r="BN13" s="998" t="s">
        <v>1456</v>
      </c>
      <c r="BQ13" s="1208">
        <v>4213783</v>
      </c>
      <c r="BR13" s="998" t="s">
        <v>1416</v>
      </c>
      <c r="BS13" s="1356"/>
      <c r="BT13" s="1000"/>
      <c r="BU13" s="1000"/>
      <c r="BV13" s="1000"/>
      <c r="BW13" s="1621"/>
      <c r="BX13" s="1617"/>
    </row>
    <row r="14" spans="1:79" ht="11.25" customHeight="1">
      <c r="A14" s="1004" t="s">
        <v>1457</v>
      </c>
      <c r="B14" s="1005">
        <v>2012</v>
      </c>
      <c r="I14" s="1006" t="s">
        <v>153</v>
      </c>
      <c r="J14" s="997" t="s">
        <v>1458</v>
      </c>
      <c r="N14" s="997" t="s">
        <v>1459</v>
      </c>
      <c r="V14" s="1013">
        <v>13</v>
      </c>
      <c r="W14" s="1014"/>
      <c r="X14" s="1014" t="s">
        <v>1267</v>
      </c>
      <c r="Y14" s="1005" t="s">
        <v>1237</v>
      </c>
      <c r="AW14" s="1047" t="s">
        <v>152</v>
      </c>
      <c r="AX14" s="1047" t="s">
        <v>152</v>
      </c>
      <c r="AZ14" s="997" t="s">
        <v>1460</v>
      </c>
      <c r="BB14" s="1047" t="s">
        <v>1461</v>
      </c>
      <c r="BC14" s="1047" t="s">
        <v>1453</v>
      </c>
      <c r="BE14" s="1047">
        <v>2012</v>
      </c>
      <c r="BH14" s="998" t="s">
        <v>1376</v>
      </c>
      <c r="BJ14" s="1144" t="s">
        <v>1462</v>
      </c>
      <c r="BL14" s="1144" t="s">
        <v>1462</v>
      </c>
      <c r="BN14" s="998" t="s">
        <v>1463</v>
      </c>
      <c r="BQ14" s="1208">
        <v>4213782</v>
      </c>
      <c r="BR14" s="998" t="s">
        <v>197</v>
      </c>
      <c r="BS14" s="1356"/>
      <c r="BT14" s="1000"/>
      <c r="BU14" s="1000"/>
      <c r="BV14" s="1000"/>
      <c r="BW14" s="1621"/>
      <c r="BX14" s="1617"/>
    </row>
    <row r="15" spans="1:79" ht="19.5" customHeight="1">
      <c r="A15" s="1004" t="s">
        <v>1464</v>
      </c>
      <c r="B15" s="1005">
        <v>2013</v>
      </c>
      <c r="E15" s="1625" t="s">
        <v>1465</v>
      </c>
      <c r="G15" s="997" t="s">
        <v>1466</v>
      </c>
      <c r="H15" s="997" t="s">
        <v>1467</v>
      </c>
      <c r="I15" s="1008" t="s">
        <v>154</v>
      </c>
      <c r="J15" s="1019" t="s">
        <v>596</v>
      </c>
      <c r="N15" s="1085" t="s">
        <v>1468</v>
      </c>
      <c r="X15" s="1017"/>
      <c r="AW15" s="1047" t="s">
        <v>153</v>
      </c>
      <c r="AX15" s="1047" t="s">
        <v>153</v>
      </c>
      <c r="AZ15" s="1047" t="s">
        <v>1387</v>
      </c>
      <c r="BB15" s="1047" t="s">
        <v>1469</v>
      </c>
      <c r="BC15" s="1047" t="s">
        <v>1453</v>
      </c>
      <c r="BE15" s="1047">
        <v>2013</v>
      </c>
      <c r="BH15" s="998" t="s">
        <v>1392</v>
      </c>
      <c r="BJ15" s="1144" t="s">
        <v>1470</v>
      </c>
      <c r="BL15" s="1144" t="s">
        <v>1470</v>
      </c>
      <c r="BN15" s="998" t="s">
        <v>1471</v>
      </c>
      <c r="BR15" s="1000"/>
      <c r="BS15" s="1358"/>
      <c r="BT15" s="1000"/>
      <c r="BU15" s="1000"/>
      <c r="BV15" s="1000"/>
      <c r="BW15" s="1621"/>
      <c r="BX15" s="1617"/>
    </row>
    <row r="16" spans="1:79" ht="21" customHeight="1">
      <c r="A16" s="1795" t="s">
        <v>1472</v>
      </c>
      <c r="B16" s="1005">
        <v>2014</v>
      </c>
      <c r="E16" s="1626" t="s">
        <v>1473</v>
      </c>
      <c r="G16" s="1006" t="s">
        <v>1474</v>
      </c>
      <c r="H16" s="1006" t="s">
        <v>1475</v>
      </c>
      <c r="I16" s="1008" t="s">
        <v>1476</v>
      </c>
      <c r="J16" s="1019" t="s">
        <v>569</v>
      </c>
      <c r="N16" s="1085" t="s">
        <v>1477</v>
      </c>
      <c r="AW16" s="1047" t="s">
        <v>154</v>
      </c>
      <c r="AX16" s="1047" t="s">
        <v>154</v>
      </c>
      <c r="AZ16" s="1047" t="s">
        <v>1403</v>
      </c>
      <c r="BB16" s="1047" t="s">
        <v>1478</v>
      </c>
      <c r="BC16" s="1047" t="s">
        <v>1453</v>
      </c>
      <c r="BE16" s="1047">
        <v>2014</v>
      </c>
      <c r="BH16" s="998" t="s">
        <v>1408</v>
      </c>
      <c r="BJ16" s="1144" t="s">
        <v>1479</v>
      </c>
      <c r="BL16" s="1144" t="s">
        <v>1479</v>
      </c>
      <c r="BN16" s="998" t="s">
        <v>1480</v>
      </c>
      <c r="BR16" s="1000"/>
      <c r="BS16" s="1358"/>
      <c r="BT16" s="1000"/>
      <c r="BU16" s="1000"/>
      <c r="BV16" s="1000"/>
      <c r="BW16" s="1621"/>
      <c r="BX16" s="1617"/>
    </row>
    <row r="17" spans="1:82" ht="21" customHeight="1">
      <c r="A17" s="1004" t="s">
        <v>1481</v>
      </c>
      <c r="B17" s="1005">
        <v>2015</v>
      </c>
      <c r="G17" s="1006" t="s">
        <v>1428</v>
      </c>
      <c r="H17" s="1006" t="s">
        <v>1428</v>
      </c>
      <c r="I17" s="1006" t="s">
        <v>1482</v>
      </c>
      <c r="N17" s="1085" t="s">
        <v>1483</v>
      </c>
      <c r="X17" s="1017"/>
      <c r="AW17" s="1047" t="s">
        <v>1476</v>
      </c>
      <c r="AX17" s="1047" t="s">
        <v>1476</v>
      </c>
      <c r="AZ17" s="1047" t="s">
        <v>1484</v>
      </c>
      <c r="BB17" s="1047" t="s">
        <v>1485</v>
      </c>
      <c r="BC17" s="1047" t="s">
        <v>1336</v>
      </c>
      <c r="BE17" s="1047">
        <v>2015</v>
      </c>
      <c r="BH17" s="998" t="s">
        <v>1424</v>
      </c>
      <c r="BJ17" s="1144" t="s">
        <v>1486</v>
      </c>
      <c r="BL17" s="1144" t="s">
        <v>1486</v>
      </c>
      <c r="BN17" s="998" t="s">
        <v>1487</v>
      </c>
      <c r="BR17" s="997" t="s">
        <v>1278</v>
      </c>
      <c r="BS17" s="1355"/>
      <c r="BU17" s="997" t="s">
        <v>1488</v>
      </c>
      <c r="BV17" s="1000"/>
      <c r="BW17" s="1617"/>
      <c r="BX17" s="1619" t="s">
        <v>1489</v>
      </c>
      <c r="CA17" s="997" t="s">
        <v>1490</v>
      </c>
      <c r="CD17" s="997" t="s">
        <v>1491</v>
      </c>
    </row>
    <row r="18" spans="1:82" ht="21" customHeight="1">
      <c r="A18" s="1004" t="s">
        <v>1492</v>
      </c>
      <c r="B18" s="1005">
        <v>2016</v>
      </c>
      <c r="E18" s="1927" t="s">
        <v>1493</v>
      </c>
      <c r="I18" s="1006" t="s">
        <v>1494</v>
      </c>
      <c r="N18" s="1085" t="s">
        <v>1495</v>
      </c>
      <c r="X18" s="1017"/>
      <c r="AW18" s="1047" t="s">
        <v>1482</v>
      </c>
      <c r="AX18" s="1047" t="s">
        <v>1482</v>
      </c>
      <c r="BB18" s="1047" t="s">
        <v>1496</v>
      </c>
      <c r="BC18" s="1047" t="s">
        <v>1336</v>
      </c>
      <c r="BE18" s="1047">
        <v>2016</v>
      </c>
      <c r="BH18" s="998" t="s">
        <v>1438</v>
      </c>
      <c r="BJ18" s="1144" t="s">
        <v>1497</v>
      </c>
      <c r="BL18" s="1144" t="s">
        <v>1497</v>
      </c>
      <c r="BN18" s="998" t="s">
        <v>1498</v>
      </c>
      <c r="BQ18" s="1359" t="s">
        <v>1308</v>
      </c>
      <c r="BR18" s="1086" t="s">
        <v>1309</v>
      </c>
      <c r="BS18" s="212"/>
      <c r="BT18" s="1359" t="s">
        <v>1499</v>
      </c>
      <c r="BU18" s="1086" t="s">
        <v>1500</v>
      </c>
      <c r="BV18" s="1000"/>
      <c r="BW18" s="1624" t="s">
        <v>1501</v>
      </c>
      <c r="BX18" s="1618" t="s">
        <v>1502</v>
      </c>
      <c r="BZ18" s="1359" t="s">
        <v>1503</v>
      </c>
      <c r="CA18" s="1086" t="s">
        <v>1504</v>
      </c>
      <c r="CC18" s="1359" t="s">
        <v>1505</v>
      </c>
      <c r="CD18" s="1086" t="s">
        <v>1506</v>
      </c>
    </row>
    <row r="19" spans="1:82" ht="21" customHeight="1">
      <c r="A19" s="1795" t="s">
        <v>1507</v>
      </c>
      <c r="B19" s="1005">
        <v>2017</v>
      </c>
      <c r="E19" s="1004" t="s">
        <v>161</v>
      </c>
      <c r="I19" s="1006" t="s">
        <v>1508</v>
      </c>
      <c r="N19" s="1085" t="s">
        <v>1509</v>
      </c>
      <c r="X19" s="1017"/>
      <c r="AW19" s="1047" t="s">
        <v>1494</v>
      </c>
      <c r="AX19" s="1047" t="s">
        <v>1494</v>
      </c>
      <c r="AZ19" s="997" t="s">
        <v>1510</v>
      </c>
      <c r="BB19" s="1047" t="s">
        <v>1511</v>
      </c>
      <c r="BC19" s="1047" t="s">
        <v>1336</v>
      </c>
      <c r="BE19" s="1047">
        <v>2017</v>
      </c>
      <c r="BH19" s="998" t="s">
        <v>1512</v>
      </c>
      <c r="BJ19" s="1144" t="s">
        <v>1513</v>
      </c>
      <c r="BL19" s="1144" t="s">
        <v>1513</v>
      </c>
      <c r="BQ19" s="1208">
        <v>4190064</v>
      </c>
      <c r="BR19" s="998" t="s">
        <v>1514</v>
      </c>
      <c r="BS19" s="1356"/>
      <c r="BT19" s="1208">
        <v>4189671</v>
      </c>
      <c r="BU19" s="998" t="s">
        <v>1515</v>
      </c>
      <c r="BV19" s="1000"/>
      <c r="BW19" s="1622">
        <v>4189706</v>
      </c>
      <c r="BX19" s="1620" t="s">
        <v>1516</v>
      </c>
      <c r="BZ19" s="1208">
        <v>4189714</v>
      </c>
      <c r="CA19" s="998" t="s">
        <v>1517</v>
      </c>
      <c r="CC19" s="1208">
        <v>4189708</v>
      </c>
      <c r="CD19" s="998" t="s">
        <v>1518</v>
      </c>
    </row>
    <row r="20" spans="1:82" ht="21" customHeight="1">
      <c r="A20" s="1004" t="s">
        <v>1519</v>
      </c>
      <c r="B20" s="1005">
        <v>2018</v>
      </c>
      <c r="E20" s="1004" t="s">
        <v>1267</v>
      </c>
      <c r="I20" s="1006" t="s">
        <v>1520</v>
      </c>
      <c r="N20" s="1085" t="s">
        <v>1521</v>
      </c>
      <c r="AW20" s="1047" t="s">
        <v>1508</v>
      </c>
      <c r="AX20" s="1047" t="s">
        <v>1508</v>
      </c>
      <c r="AZ20" s="1047" t="s">
        <v>1522</v>
      </c>
      <c r="BB20" s="1047" t="s">
        <v>1523</v>
      </c>
      <c r="BC20" s="1047" t="s">
        <v>1453</v>
      </c>
      <c r="BE20" s="1047">
        <v>2018</v>
      </c>
      <c r="BH20" s="998" t="s">
        <v>1449</v>
      </c>
      <c r="BJ20" s="998" t="s">
        <v>1376</v>
      </c>
      <c r="BL20" s="998" t="s">
        <v>1376</v>
      </c>
      <c r="BQ20" s="1208">
        <v>4190065</v>
      </c>
      <c r="BR20" s="998" t="s">
        <v>1524</v>
      </c>
      <c r="BS20" s="1356"/>
      <c r="BT20" s="1208">
        <v>4189672</v>
      </c>
      <c r="BU20" s="998" t="s">
        <v>1525</v>
      </c>
      <c r="BV20" s="1000"/>
      <c r="BW20" s="1622">
        <v>4189705</v>
      </c>
      <c r="BX20" s="1620" t="s">
        <v>1526</v>
      </c>
      <c r="BZ20" s="1208">
        <v>4189713</v>
      </c>
      <c r="CA20" s="998" t="s">
        <v>1526</v>
      </c>
      <c r="CC20" s="1208">
        <v>4189709</v>
      </c>
      <c r="CD20" s="998" t="s">
        <v>1527</v>
      </c>
    </row>
    <row r="21" spans="1:82" ht="21" customHeight="1">
      <c r="A21" s="1004" t="s">
        <v>1528</v>
      </c>
      <c r="B21" s="1005">
        <v>2019</v>
      </c>
      <c r="I21" s="1006" t="s">
        <v>1529</v>
      </c>
      <c r="N21" s="1085" t="s">
        <v>1530</v>
      </c>
      <c r="AW21" s="1047" t="s">
        <v>1520</v>
      </c>
      <c r="AX21" s="1047" t="s">
        <v>1520</v>
      </c>
      <c r="AZ21" s="1047" t="s">
        <v>1531</v>
      </c>
      <c r="BB21" s="1047" t="s">
        <v>1532</v>
      </c>
      <c r="BC21" s="1047" t="s">
        <v>1336</v>
      </c>
      <c r="BE21" s="1047">
        <v>2019</v>
      </c>
      <c r="BH21" s="998" t="s">
        <v>1456</v>
      </c>
      <c r="BJ21" s="998" t="s">
        <v>1392</v>
      </c>
      <c r="BL21" s="998" t="s">
        <v>1392</v>
      </c>
      <c r="BQ21" s="1208">
        <v>4190066</v>
      </c>
      <c r="BR21" s="998" t="s">
        <v>1533</v>
      </c>
      <c r="BS21" s="1356"/>
      <c r="BT21" s="1208">
        <v>4189673</v>
      </c>
      <c r="BU21" s="998" t="s">
        <v>1534</v>
      </c>
      <c r="BV21" s="1000"/>
      <c r="BW21" s="1622">
        <v>4189707</v>
      </c>
      <c r="BX21" s="1620" t="s">
        <v>1535</v>
      </c>
      <c r="BZ21" s="1208">
        <v>4189712</v>
      </c>
      <c r="CA21" s="998" t="s">
        <v>1536</v>
      </c>
      <c r="CC21" s="1208">
        <v>4189710</v>
      </c>
      <c r="CD21" s="998" t="s">
        <v>1537</v>
      </c>
    </row>
    <row r="22" spans="1:82" ht="21" customHeight="1">
      <c r="A22" s="1004" t="s">
        <v>1538</v>
      </c>
      <c r="B22" s="1005">
        <v>2020</v>
      </c>
      <c r="N22" s="1085" t="s">
        <v>1539</v>
      </c>
      <c r="AW22" s="1047" t="s">
        <v>1529</v>
      </c>
      <c r="AX22" s="1047" t="s">
        <v>1529</v>
      </c>
      <c r="AZ22" s="1047" t="s">
        <v>1540</v>
      </c>
      <c r="BB22" s="1047" t="s">
        <v>1541</v>
      </c>
      <c r="BC22" s="1047" t="s">
        <v>1336</v>
      </c>
      <c r="BE22" s="1047">
        <v>2020</v>
      </c>
      <c r="BH22" s="998" t="s">
        <v>1463</v>
      </c>
      <c r="BJ22" s="998" t="s">
        <v>1408</v>
      </c>
      <c r="BL22" s="998" t="s">
        <v>1408</v>
      </c>
      <c r="BQ22" s="1208">
        <v>4190067</v>
      </c>
      <c r="BR22" s="998" t="s">
        <v>1542</v>
      </c>
      <c r="BS22" s="1356"/>
      <c r="BT22" s="1208">
        <v>4189674</v>
      </c>
      <c r="BU22" s="998" t="s">
        <v>1543</v>
      </c>
      <c r="BV22" s="1000"/>
      <c r="BW22" s="1000"/>
      <c r="CC22" s="1208">
        <v>4189711</v>
      </c>
      <c r="CD22" s="998" t="s">
        <v>299</v>
      </c>
    </row>
    <row r="23" spans="1:82" ht="21" customHeight="1">
      <c r="A23" s="1004" t="s">
        <v>1544</v>
      </c>
      <c r="B23" s="1005">
        <v>2021</v>
      </c>
      <c r="AW23" s="1047" t="s">
        <v>1545</v>
      </c>
      <c r="AX23" s="1047" t="s">
        <v>1545</v>
      </c>
      <c r="AZ23" s="1047" t="s">
        <v>1546</v>
      </c>
      <c r="BB23" s="1047" t="s">
        <v>1547</v>
      </c>
      <c r="BC23" s="1047" t="s">
        <v>1247</v>
      </c>
      <c r="BE23" s="1047">
        <v>2021</v>
      </c>
      <c r="BH23" s="998" t="s">
        <v>1471</v>
      </c>
      <c r="BJ23" s="998" t="s">
        <v>1424</v>
      </c>
      <c r="BL23" s="998" t="s">
        <v>1424</v>
      </c>
      <c r="BQ23" s="1208">
        <v>4190068</v>
      </c>
      <c r="BR23" s="998" t="s">
        <v>1548</v>
      </c>
      <c r="BS23" s="1356"/>
      <c r="BT23" s="1208">
        <v>4189675</v>
      </c>
      <c r="BU23" s="998" t="s">
        <v>1549</v>
      </c>
      <c r="BV23" s="1000"/>
      <c r="BW23" s="1000"/>
      <c r="CC23" s="1208">
        <v>5110778</v>
      </c>
      <c r="CD23" s="998" t="s">
        <v>1550</v>
      </c>
    </row>
    <row r="24" spans="1:82" ht="21" customHeight="1">
      <c r="A24" s="1004" t="s">
        <v>1551</v>
      </c>
      <c r="B24" s="1005">
        <v>2022</v>
      </c>
      <c r="AW24" s="1047" t="s">
        <v>1552</v>
      </c>
      <c r="AX24" s="1047" t="s">
        <v>1552</v>
      </c>
      <c r="AZ24" s="1047" t="s">
        <v>1553</v>
      </c>
      <c r="BB24" s="1047" t="s">
        <v>1554</v>
      </c>
      <c r="BC24" s="1047" t="s">
        <v>1555</v>
      </c>
      <c r="BE24" s="1047">
        <v>2022</v>
      </c>
      <c r="BH24" s="998" t="s">
        <v>1480</v>
      </c>
      <c r="BJ24" s="998" t="s">
        <v>1438</v>
      </c>
      <c r="BL24" s="998" t="s">
        <v>1438</v>
      </c>
      <c r="BQ24" s="1208">
        <v>4190069</v>
      </c>
      <c r="BR24" s="998" t="s">
        <v>1556</v>
      </c>
      <c r="BS24" s="1356"/>
      <c r="BT24" s="1208">
        <v>4189676</v>
      </c>
      <c r="BU24" s="998" t="s">
        <v>1557</v>
      </c>
      <c r="BV24" s="1000"/>
      <c r="BW24" s="1000"/>
      <c r="CC24" s="1208">
        <v>25575374</v>
      </c>
      <c r="CD24" s="998" t="s">
        <v>1558</v>
      </c>
    </row>
    <row r="25" spans="1:82" ht="11.25" customHeight="1">
      <c r="A25" s="1004" t="s">
        <v>1559</v>
      </c>
      <c r="B25" s="1005">
        <v>2023</v>
      </c>
      <c r="AW25" s="1047" t="s">
        <v>1560</v>
      </c>
      <c r="AX25" s="1047" t="s">
        <v>1560</v>
      </c>
      <c r="AZ25" s="1047" t="s">
        <v>1561</v>
      </c>
      <c r="BB25" s="1047" t="s">
        <v>1562</v>
      </c>
      <c r="BC25" s="1047" t="s">
        <v>1555</v>
      </c>
      <c r="BE25" s="1047">
        <v>2023</v>
      </c>
      <c r="BH25" s="998" t="s">
        <v>1487</v>
      </c>
      <c r="BJ25" s="998" t="s">
        <v>1512</v>
      </c>
      <c r="BL25" s="998" t="s">
        <v>1512</v>
      </c>
      <c r="BQ25" s="1208">
        <v>4190070</v>
      </c>
      <c r="BR25" s="998" t="s">
        <v>1563</v>
      </c>
      <c r="BS25" s="1356"/>
      <c r="BT25" s="1208">
        <v>4189677</v>
      </c>
      <c r="BU25" s="998" t="s">
        <v>1564</v>
      </c>
      <c r="BV25" s="1000"/>
      <c r="BW25" s="1000"/>
    </row>
    <row r="26" spans="1:82" ht="11.25" customHeight="1">
      <c r="A26" s="1004" t="s">
        <v>1565</v>
      </c>
      <c r="B26" s="1005">
        <v>2024</v>
      </c>
      <c r="J26" s="1657" t="s">
        <v>1566</v>
      </c>
      <c r="AX26" s="1047" t="s">
        <v>1567</v>
      </c>
      <c r="AZ26" s="1047" t="s">
        <v>1431</v>
      </c>
      <c r="BB26" s="1047" t="s">
        <v>1568</v>
      </c>
      <c r="BC26" s="1047" t="s">
        <v>1555</v>
      </c>
      <c r="BE26" s="1047">
        <v>2024</v>
      </c>
      <c r="BH26" s="998" t="s">
        <v>1498</v>
      </c>
      <c r="BJ26" s="998" t="s">
        <v>1449</v>
      </c>
      <c r="BL26" s="998" t="s">
        <v>1449</v>
      </c>
      <c r="BQ26" s="1208">
        <v>4190071</v>
      </c>
      <c r="BR26" s="998" t="s">
        <v>1569</v>
      </c>
      <c r="BS26" s="1356"/>
      <c r="BV26" s="1000"/>
      <c r="BW26" s="1000"/>
    </row>
    <row r="27" spans="1:82" ht="11.25" customHeight="1">
      <c r="A27" s="1004" t="s">
        <v>1570</v>
      </c>
      <c r="B27" s="1005">
        <v>2025</v>
      </c>
      <c r="J27" s="114" t="s">
        <v>451</v>
      </c>
      <c r="AX27" s="1047" t="s">
        <v>1571</v>
      </c>
      <c r="BB27" s="1047" t="s">
        <v>1572</v>
      </c>
      <c r="BC27" s="1047" t="s">
        <v>1555</v>
      </c>
      <c r="BE27" s="1047">
        <v>2025</v>
      </c>
      <c r="BH27" s="1000" t="s">
        <v>28</v>
      </c>
      <c r="BJ27" s="998" t="s">
        <v>1456</v>
      </c>
      <c r="BL27" s="998" t="s">
        <v>1456</v>
      </c>
      <c r="BN27" s="1000" t="s">
        <v>28</v>
      </c>
      <c r="BQ27" s="1208">
        <v>4190072</v>
      </c>
      <c r="BR27" s="998" t="s">
        <v>1573</v>
      </c>
      <c r="BS27" s="1356"/>
      <c r="BV27" s="1000"/>
      <c r="BW27" s="1000"/>
    </row>
    <row r="28" spans="1:82" ht="11.25" customHeight="1">
      <c r="A28" s="1004" t="s">
        <v>1574</v>
      </c>
      <c r="D28" s="1029"/>
      <c r="E28" s="1030"/>
      <c r="F28" s="1030"/>
      <c r="H28" s="1031" t="s">
        <v>1575</v>
      </c>
      <c r="AX28" s="1047" t="s">
        <v>1576</v>
      </c>
      <c r="AZ28" s="997" t="s">
        <v>1577</v>
      </c>
      <c r="BB28" s="1047" t="s">
        <v>1578</v>
      </c>
      <c r="BC28" s="1047" t="s">
        <v>1579</v>
      </c>
      <c r="BE28" s="1047">
        <v>2026</v>
      </c>
      <c r="BH28" s="1000" t="s">
        <v>28</v>
      </c>
      <c r="BJ28" s="998" t="s">
        <v>1463</v>
      </c>
      <c r="BL28" s="998" t="s">
        <v>1463</v>
      </c>
      <c r="BN28" s="1000" t="s">
        <v>28</v>
      </c>
      <c r="BQ28" s="1208">
        <v>4190073</v>
      </c>
      <c r="BR28" s="998" t="s">
        <v>1580</v>
      </c>
      <c r="BS28" s="1356"/>
      <c r="BV28" s="1000"/>
      <c r="BW28" s="1000"/>
    </row>
    <row r="29" spans="1:82" ht="11.25" customHeight="1">
      <c r="A29" s="1004" t="s">
        <v>1581</v>
      </c>
      <c r="D29" s="1032" t="s">
        <v>1582</v>
      </c>
      <c r="E29" s="1033" t="str">
        <f>IF(TEMPLATE_GROUP="","",INDEX(StartDateList,MATCH(TEMPLATE_GROUP,CodeTemplateList,0),1))</f>
        <v>01.01.2024</v>
      </c>
      <c r="F29" s="1033" t="str">
        <f>IF(TEMPLATE_GROUP="","",INDEX(EndDateList,MATCH(TEMPLATE_GROUP,CodeTemplateList,0),1))</f>
        <v>31.12.2028</v>
      </c>
      <c r="H29" s="1034" t="s">
        <v>1583</v>
      </c>
      <c r="AX29" s="1047" t="s">
        <v>1584</v>
      </c>
      <c r="AZ29" s="1047" t="s">
        <v>1234</v>
      </c>
      <c r="BB29" s="1047" t="s">
        <v>1431</v>
      </c>
      <c r="BC29" s="1020"/>
      <c r="BE29" s="1047">
        <v>2027</v>
      </c>
      <c r="BJ29" s="998" t="s">
        <v>1471</v>
      </c>
      <c r="BL29" s="998" t="s">
        <v>1471</v>
      </c>
    </row>
    <row r="30" spans="1:82" ht="11.25" customHeight="1">
      <c r="A30" s="1004" t="s">
        <v>1585</v>
      </c>
      <c r="D30" s="1035"/>
      <c r="E30" s="1036"/>
      <c r="F30" s="1036"/>
      <c r="AX30" s="1047" t="s">
        <v>1586</v>
      </c>
      <c r="AZ30" s="1047" t="s">
        <v>1258</v>
      </c>
      <c r="BE30" s="1047">
        <v>2028</v>
      </c>
      <c r="BJ30" s="998" t="s">
        <v>1587</v>
      </c>
      <c r="BL30" s="998" t="s">
        <v>1587</v>
      </c>
    </row>
    <row r="31" spans="1:82" ht="12.75" customHeight="1">
      <c r="A31" s="1004" t="s">
        <v>1588</v>
      </c>
      <c r="D31" s="1029"/>
      <c r="E31" s="1030"/>
      <c r="F31" s="1030"/>
      <c r="H31" s="1037"/>
      <c r="AX31" s="1047" t="s">
        <v>1589</v>
      </c>
      <c r="AZ31" s="1047" t="s">
        <v>1590</v>
      </c>
      <c r="BE31" s="1047">
        <v>2029</v>
      </c>
      <c r="BJ31" s="998" t="s">
        <v>1591</v>
      </c>
      <c r="BL31" s="998" t="s">
        <v>1591</v>
      </c>
    </row>
    <row r="32" spans="1:82" ht="11.25" customHeight="1">
      <c r="A32" s="1004" t="s">
        <v>1592</v>
      </c>
      <c r="D32" s="1032" t="s">
        <v>1593</v>
      </c>
      <c r="E32" s="1033" t="str">
        <f>IF(TEMPLATE_GROUP="","",INDEX(StartDateList,MATCH(TEMPLATE_GROUP,CodeTemplateList,0),1))</f>
        <v>01.01.2024</v>
      </c>
      <c r="F32" s="1033" t="str">
        <f>IF(TEMPLATE_GROUP="","",INDEX(EndDateList,MATCH(TEMPLATE_GROUP,CodeTemplateList,0),1))</f>
        <v>31.12.2028</v>
      </c>
      <c r="H32" s="1038" t="s">
        <v>1594</v>
      </c>
      <c r="O32" s="1004" t="s">
        <v>454</v>
      </c>
      <c r="AX32" s="1047" t="s">
        <v>1595</v>
      </c>
      <c r="AZ32" s="1047" t="s">
        <v>1324</v>
      </c>
      <c r="BE32" s="1047">
        <v>2030</v>
      </c>
      <c r="BJ32" s="998" t="s">
        <v>1480</v>
      </c>
      <c r="BL32" s="998" t="s">
        <v>1480</v>
      </c>
    </row>
    <row r="33" spans="1:66" ht="11.25" customHeight="1">
      <c r="A33" s="1004" t="s">
        <v>1596</v>
      </c>
      <c r="O33" s="1004" t="s">
        <v>1255</v>
      </c>
      <c r="AX33" s="1047" t="s">
        <v>1597</v>
      </c>
      <c r="AZ33" s="1047" t="s">
        <v>453</v>
      </c>
      <c r="BE33" s="1047">
        <v>2031</v>
      </c>
      <c r="BJ33" s="998" t="s">
        <v>1487</v>
      </c>
      <c r="BL33" s="998" t="s">
        <v>1487</v>
      </c>
    </row>
    <row r="34" spans="1:66" ht="11.25" customHeight="1">
      <c r="A34" s="1004" t="s">
        <v>1598</v>
      </c>
      <c r="O34" s="1004" t="s">
        <v>1289</v>
      </c>
      <c r="AX34" s="1047" t="s">
        <v>1599</v>
      </c>
      <c r="BE34" s="1047">
        <v>2032</v>
      </c>
      <c r="BJ34" s="998" t="s">
        <v>1498</v>
      </c>
      <c r="BL34" s="998" t="s">
        <v>1498</v>
      </c>
    </row>
    <row r="35" spans="1:66" ht="11.25" customHeight="1">
      <c r="A35" s="1004" t="s">
        <v>1600</v>
      </c>
      <c r="O35" s="1004" t="s">
        <v>1322</v>
      </c>
      <c r="AX35" s="1047" t="s">
        <v>1601</v>
      </c>
      <c r="AZ35" s="997" t="s">
        <v>1602</v>
      </c>
      <c r="BE35" s="1047">
        <v>2033</v>
      </c>
      <c r="BL35" s="998" t="s">
        <v>1603</v>
      </c>
    </row>
    <row r="36" spans="1:66" ht="11.25" customHeight="1">
      <c r="A36" s="1795" t="s">
        <v>1604</v>
      </c>
      <c r="D36" s="1039" t="s">
        <v>1605</v>
      </c>
      <c r="E36" s="1040" t="s">
        <v>820</v>
      </c>
      <c r="F36" s="1041" t="str">
        <f>INDEX(E37:E41,MATCH(TEMPLATE_SPHERE,F37:F41,0))</f>
        <v>теплоснабжения</v>
      </c>
      <c r="G36" s="1041" t="str">
        <f>INDEX(G37:G41,MATCH(TEMPLATE_SPHERE,F37:F41,0))</f>
        <v>теплоснабжение</v>
      </c>
      <c r="O36" s="1004" t="s">
        <v>1347</v>
      </c>
      <c r="AX36" s="1047" t="s">
        <v>1606</v>
      </c>
      <c r="AZ36" s="1047" t="s">
        <v>453</v>
      </c>
      <c r="BE36" s="1047">
        <v>2034</v>
      </c>
      <c r="BL36" s="998" t="s">
        <v>1607</v>
      </c>
    </row>
    <row r="37" spans="1:66" ht="11.25" customHeight="1">
      <c r="A37" s="1004" t="s">
        <v>1608</v>
      </c>
      <c r="E37" s="344" t="s">
        <v>1609</v>
      </c>
      <c r="F37" s="1042" t="s">
        <v>820</v>
      </c>
      <c r="G37" s="344" t="s">
        <v>1610</v>
      </c>
      <c r="O37" s="1004" t="s">
        <v>1366</v>
      </c>
      <c r="AX37" s="1047" t="s">
        <v>1611</v>
      </c>
      <c r="AZ37" s="1047" t="s">
        <v>1257</v>
      </c>
      <c r="BE37" s="1047">
        <v>2035</v>
      </c>
    </row>
    <row r="38" spans="1:66" ht="11.25" customHeight="1">
      <c r="A38" s="1004" t="s">
        <v>1612</v>
      </c>
      <c r="E38" s="344" t="s">
        <v>1613</v>
      </c>
      <c r="F38" s="1043" t="s">
        <v>866</v>
      </c>
      <c r="G38" s="344" t="s">
        <v>1614</v>
      </c>
      <c r="O38" s="1004" t="s">
        <v>1383</v>
      </c>
      <c r="AX38" s="1047" t="s">
        <v>1615</v>
      </c>
      <c r="AZ38" s="1047" t="s">
        <v>1290</v>
      </c>
      <c r="BE38" s="1047">
        <v>2036</v>
      </c>
      <c r="BH38" s="997" t="s">
        <v>1616</v>
      </c>
      <c r="BJ38" s="997" t="s">
        <v>1617</v>
      </c>
      <c r="BL38" s="997" t="s">
        <v>1618</v>
      </c>
      <c r="BN38" s="997" t="s">
        <v>1619</v>
      </c>
    </row>
    <row r="39" spans="1:66" ht="11.25" customHeight="1">
      <c r="A39" s="1004" t="s">
        <v>1620</v>
      </c>
      <c r="E39" s="344" t="s">
        <v>1621</v>
      </c>
      <c r="F39" s="1043" t="s">
        <v>919</v>
      </c>
      <c r="G39" s="344" t="s">
        <v>1622</v>
      </c>
      <c r="O39" s="1004" t="s">
        <v>1399</v>
      </c>
      <c r="AX39" s="1047" t="s">
        <v>1623</v>
      </c>
      <c r="AZ39" s="1047" t="s">
        <v>1323</v>
      </c>
      <c r="BE39" s="1047">
        <v>2037</v>
      </c>
      <c r="BH39" s="998" t="s">
        <v>1624</v>
      </c>
      <c r="BJ39" s="1144" t="s">
        <v>1624</v>
      </c>
      <c r="BL39" s="1144" t="s">
        <v>1624</v>
      </c>
      <c r="BN39" s="998" t="s">
        <v>1625</v>
      </c>
    </row>
    <row r="40" spans="1:66" ht="11.25" customHeight="1">
      <c r="A40" s="1004" t="s">
        <v>1626</v>
      </c>
      <c r="E40" s="344" t="s">
        <v>1627</v>
      </c>
      <c r="F40" s="1043" t="s">
        <v>906</v>
      </c>
      <c r="G40" s="344" t="s">
        <v>1628</v>
      </c>
      <c r="O40" s="1004" t="s">
        <v>1415</v>
      </c>
      <c r="AX40" s="1047" t="s">
        <v>1629</v>
      </c>
      <c r="BE40" s="1047">
        <v>2038</v>
      </c>
      <c r="BH40" s="998" t="s">
        <v>1630</v>
      </c>
      <c r="BJ40" s="1144" t="s">
        <v>1039</v>
      </c>
      <c r="BL40" s="1144" t="s">
        <v>1039</v>
      </c>
      <c r="BN40" s="998" t="s">
        <v>1073</v>
      </c>
    </row>
    <row r="41" spans="1:66" ht="11.25" customHeight="1">
      <c r="A41" s="1004" t="s">
        <v>1631</v>
      </c>
      <c r="E41" s="344" t="s">
        <v>1632</v>
      </c>
      <c r="F41" s="1043" t="s">
        <v>1633</v>
      </c>
      <c r="G41" s="344" t="s">
        <v>1632</v>
      </c>
      <c r="O41" s="1004" t="s">
        <v>1431</v>
      </c>
      <c r="AX41" s="1047" t="s">
        <v>1634</v>
      </c>
      <c r="AZ41" s="997" t="s">
        <v>1635</v>
      </c>
      <c r="BE41" s="1047">
        <v>2039</v>
      </c>
      <c r="BH41" s="998" t="s">
        <v>1636</v>
      </c>
      <c r="BJ41" s="1144" t="s">
        <v>1035</v>
      </c>
      <c r="BL41" s="1144" t="s">
        <v>1035</v>
      </c>
      <c r="BN41" s="998" t="s">
        <v>1060</v>
      </c>
    </row>
    <row r="42" spans="1:66" ht="11.25" customHeight="1">
      <c r="A42" s="1004" t="s">
        <v>1637</v>
      </c>
      <c r="AX42" s="1047" t="s">
        <v>1638</v>
      </c>
      <c r="AZ42" s="1047" t="s">
        <v>454</v>
      </c>
      <c r="BE42" s="1047">
        <v>2040</v>
      </c>
      <c r="BH42" s="998" t="s">
        <v>1057</v>
      </c>
      <c r="BJ42" s="1144" t="s">
        <v>1037</v>
      </c>
      <c r="BL42" s="1144" t="s">
        <v>1037</v>
      </c>
      <c r="BN42" s="998" t="s">
        <v>1639</v>
      </c>
    </row>
    <row r="43" spans="1:66" ht="11.25" customHeight="1">
      <c r="A43" s="1004" t="s">
        <v>1640</v>
      </c>
      <c r="AX43" s="1047" t="s">
        <v>1641</v>
      </c>
      <c r="AZ43" s="1047" t="s">
        <v>1255</v>
      </c>
      <c r="BE43" s="1047">
        <v>2041</v>
      </c>
      <c r="BH43" s="998" t="s">
        <v>1642</v>
      </c>
      <c r="BJ43" s="1144" t="s">
        <v>1636</v>
      </c>
      <c r="BL43" s="1144" t="s">
        <v>1636</v>
      </c>
      <c r="BN43" s="998" t="s">
        <v>1643</v>
      </c>
    </row>
    <row r="44" spans="1:66" ht="11.25" customHeight="1">
      <c r="A44" s="1004" t="s">
        <v>1644</v>
      </c>
      <c r="G44" s="1023">
        <f ca="1">YEAR(TODAY())</f>
        <v>2025</v>
      </c>
      <c r="I44" s="730" t="s">
        <v>1645</v>
      </c>
      <c r="J44" s="1019" t="s">
        <v>1646</v>
      </c>
      <c r="K44" s="1019" t="s">
        <v>1647</v>
      </c>
      <c r="AX44" s="1047" t="s">
        <v>1648</v>
      </c>
      <c r="AZ44" s="1047" t="s">
        <v>1289</v>
      </c>
      <c r="BE44" s="1047">
        <v>2042</v>
      </c>
      <c r="BH44" s="998" t="s">
        <v>1649</v>
      </c>
      <c r="BJ44" s="1144" t="s">
        <v>1057</v>
      </c>
      <c r="BL44" s="1144" t="s">
        <v>1057</v>
      </c>
      <c r="BN44" s="998" t="s">
        <v>1650</v>
      </c>
    </row>
    <row r="45" spans="1:66" ht="11.25" customHeight="1">
      <c r="A45" s="1004" t="s">
        <v>1651</v>
      </c>
      <c r="D45" s="1039" t="s">
        <v>1652</v>
      </c>
      <c r="E45" s="1040" t="s">
        <v>1653</v>
      </c>
      <c r="F45" s="728" t="s">
        <v>1654</v>
      </c>
      <c r="G45" s="727" t="s">
        <v>1655</v>
      </c>
      <c r="H45" s="730" t="s">
        <v>1656</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1657</v>
      </c>
      <c r="AZ45" s="1047" t="s">
        <v>1322</v>
      </c>
      <c r="BE45" s="1047">
        <v>2043</v>
      </c>
      <c r="BH45" s="998" t="s">
        <v>1658</v>
      </c>
      <c r="BJ45" s="1144" t="s">
        <v>1051</v>
      </c>
      <c r="BL45" s="1144" t="s">
        <v>1051</v>
      </c>
      <c r="BN45" s="998" t="s">
        <v>1659</v>
      </c>
    </row>
    <row r="46" spans="1:66" ht="11.25" customHeight="1">
      <c r="A46" s="1004" t="s">
        <v>1660</v>
      </c>
      <c r="E46" s="344" t="s">
        <v>26</v>
      </c>
      <c r="F46" s="1042" t="s">
        <v>1661</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1662</v>
      </c>
      <c r="AZ46" s="1047" t="s">
        <v>1347</v>
      </c>
      <c r="BE46" s="1047">
        <v>2044</v>
      </c>
      <c r="BH46" s="998" t="s">
        <v>1060</v>
      </c>
      <c r="BJ46" s="1144" t="s">
        <v>1041</v>
      </c>
      <c r="BL46" s="1144" t="s">
        <v>1041</v>
      </c>
      <c r="BN46" s="998" t="s">
        <v>1663</v>
      </c>
    </row>
    <row r="47" spans="1:66" ht="11.25" customHeight="1">
      <c r="A47" s="1004" t="s">
        <v>16</v>
      </c>
      <c r="E47" s="344" t="s">
        <v>33</v>
      </c>
      <c r="F47" s="1043" t="s">
        <v>1664</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1665</v>
      </c>
      <c r="AZ47" s="1047" t="s">
        <v>1366</v>
      </c>
      <c r="BE47" s="1047">
        <v>2045</v>
      </c>
      <c r="BH47" s="998" t="s">
        <v>1639</v>
      </c>
      <c r="BJ47" s="1144" t="s">
        <v>1043</v>
      </c>
      <c r="BL47" s="1144" t="s">
        <v>1043</v>
      </c>
      <c r="BN47" s="998" t="s">
        <v>1666</v>
      </c>
    </row>
    <row r="48" spans="1:66" ht="11.25" customHeight="1">
      <c r="A48" s="1004" t="s">
        <v>1667</v>
      </c>
      <c r="E48" s="344" t="s">
        <v>1668</v>
      </c>
      <c r="F48" s="1043" t="s">
        <v>1669</v>
      </c>
      <c r="G48" s="1044" t="str">
        <f ca="1">IFERROR(IF(f_year="","01.01."&amp;CURRENT_YEAR,"01.01."&amp;f_year),"01.01."&amp;CURRENT_YEAR)</f>
        <v>01.01.2025</v>
      </c>
      <c r="H48" s="1044" t="str">
        <f ca="1">IFERROR(IF(f_year="","31.12."&amp;CURRENT_YEAR,"31.12."&amp;f_year),"31.12."&amp;CURRENT_YEAR)</f>
        <v>31.12.2025</v>
      </c>
      <c r="I48" s="1668" t="b">
        <f>IF(f_year="",TRUE,FALSE)</f>
        <v>1</v>
      </c>
      <c r="J48" s="1671" t="s">
        <v>1670</v>
      </c>
      <c r="K48" s="1672"/>
      <c r="AX48" s="1047" t="s">
        <v>1671</v>
      </c>
      <c r="AZ48" s="1047" t="s">
        <v>1383</v>
      </c>
      <c r="BE48" s="1047">
        <v>2046</v>
      </c>
      <c r="BH48" s="998" t="s">
        <v>1643</v>
      </c>
      <c r="BJ48" s="1144" t="s">
        <v>1045</v>
      </c>
      <c r="BL48" s="1144" t="s">
        <v>1045</v>
      </c>
      <c r="BN48" s="998" t="s">
        <v>1672</v>
      </c>
    </row>
    <row r="49" spans="1:64" ht="11.25" customHeight="1">
      <c r="A49" s="1004" t="s">
        <v>1673</v>
      </c>
      <c r="E49" s="344" t="s">
        <v>1674</v>
      </c>
      <c r="F49" s="1043" t="s">
        <v>1675</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1676</v>
      </c>
      <c r="AZ49" s="1047" t="s">
        <v>1399</v>
      </c>
      <c r="BE49" s="1047">
        <v>2047</v>
      </c>
      <c r="BH49" s="998" t="s">
        <v>1061</v>
      </c>
      <c r="BJ49" s="1144" t="s">
        <v>1047</v>
      </c>
      <c r="BL49" s="1144" t="s">
        <v>1047</v>
      </c>
    </row>
    <row r="50" spans="1:64" ht="11.25" customHeight="1">
      <c r="A50" s="1004" t="s">
        <v>1677</v>
      </c>
      <c r="E50" s="344" t="s">
        <v>1678</v>
      </c>
      <c r="F50" s="1043" t="s">
        <v>1031</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1679</v>
      </c>
      <c r="AZ50" s="1047" t="s">
        <v>1415</v>
      </c>
      <c r="BE50" s="1047">
        <v>2048</v>
      </c>
      <c r="BH50" s="998" t="s">
        <v>1650</v>
      </c>
      <c r="BJ50" s="1144" t="s">
        <v>1049</v>
      </c>
      <c r="BL50" s="1144" t="s">
        <v>1049</v>
      </c>
    </row>
    <row r="51" spans="1:64" ht="11.25" customHeight="1">
      <c r="A51" s="1004" t="s">
        <v>1680</v>
      </c>
      <c r="E51" s="344" t="s">
        <v>1681</v>
      </c>
      <c r="F51" s="1043" t="s">
        <v>1653</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1682</v>
      </c>
      <c r="AZ51" s="1047" t="s">
        <v>1431</v>
      </c>
      <c r="BE51" s="1047">
        <v>2049</v>
      </c>
      <c r="BH51" s="998" t="s">
        <v>1659</v>
      </c>
      <c r="BJ51" s="1144" t="s">
        <v>1683</v>
      </c>
      <c r="BL51" s="1144" t="s">
        <v>1683</v>
      </c>
    </row>
    <row r="52" spans="1:64" ht="11.25" customHeight="1">
      <c r="A52" s="1004" t="s">
        <v>1684</v>
      </c>
      <c r="E52" s="344" t="s">
        <v>1685</v>
      </c>
      <c r="F52" s="1043" t="s">
        <v>1686</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1687</v>
      </c>
      <c r="AZ52" s="1047" t="s">
        <v>453</v>
      </c>
      <c r="BE52" s="1047">
        <v>2050</v>
      </c>
      <c r="BH52" s="998" t="s">
        <v>1663</v>
      </c>
      <c r="BJ52" s="1144" t="s">
        <v>1060</v>
      </c>
      <c r="BL52" s="1144" t="s">
        <v>1060</v>
      </c>
    </row>
    <row r="53" spans="1:64" ht="11.25" customHeight="1">
      <c r="A53" s="1004" t="s">
        <v>1688</v>
      </c>
      <c r="E53" s="344" t="s">
        <v>1689</v>
      </c>
      <c r="F53" s="1043" t="s">
        <v>1689</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1690</v>
      </c>
      <c r="K53" s="1672"/>
      <c r="AX53" s="1047" t="s">
        <v>1691</v>
      </c>
      <c r="BE53" s="1047">
        <v>2051</v>
      </c>
      <c r="BH53" s="998" t="s">
        <v>1666</v>
      </c>
      <c r="BJ53" s="1144" t="s">
        <v>1639</v>
      </c>
      <c r="BL53" s="1144" t="s">
        <v>1639</v>
      </c>
    </row>
    <row r="54" spans="1:64" ht="11.25" customHeight="1">
      <c r="A54" s="1004" t="s">
        <v>1692</v>
      </c>
      <c r="AX54" s="1047" t="s">
        <v>1693</v>
      </c>
      <c r="AZ54" s="997" t="s">
        <v>1694</v>
      </c>
      <c r="BE54" s="1047">
        <v>2052</v>
      </c>
      <c r="BH54" s="998" t="s">
        <v>1672</v>
      </c>
      <c r="BJ54" s="1144" t="s">
        <v>1643</v>
      </c>
      <c r="BL54" s="1144" t="s">
        <v>1643</v>
      </c>
    </row>
    <row r="55" spans="1:64" ht="11.25" customHeight="1">
      <c r="A55" s="1004" t="s">
        <v>1695</v>
      </c>
      <c r="AX55" s="1047" t="s">
        <v>1696</v>
      </c>
      <c r="AZ55" s="1047" t="s">
        <v>489</v>
      </c>
      <c r="BE55" s="1047">
        <v>2053</v>
      </c>
      <c r="BH55" s="1000" t="s">
        <v>28</v>
      </c>
      <c r="BJ55" s="1144" t="s">
        <v>1061</v>
      </c>
      <c r="BL55" s="1144" t="s">
        <v>1061</v>
      </c>
    </row>
    <row r="56" spans="1:64" ht="11.25" customHeight="1">
      <c r="A56" s="1004" t="s">
        <v>1697</v>
      </c>
      <c r="D56" s="1046" t="s">
        <v>1698</v>
      </c>
      <c r="E56" s="1024" t="s">
        <v>112</v>
      </c>
      <c r="F56" s="1004" t="s">
        <v>1699</v>
      </c>
      <c r="AX56" s="1047" t="s">
        <v>1700</v>
      </c>
      <c r="AZ56" s="1047" t="s">
        <v>492</v>
      </c>
      <c r="BE56" s="1047">
        <v>2054</v>
      </c>
      <c r="BH56" s="1000" t="s">
        <v>28</v>
      </c>
      <c r="BJ56" s="1144" t="s">
        <v>1650</v>
      </c>
      <c r="BL56" s="1144" t="s">
        <v>1650</v>
      </c>
    </row>
    <row r="57" spans="1:64" ht="11.25" customHeight="1">
      <c r="A57" s="1004" t="s">
        <v>1701</v>
      </c>
      <c r="D57" s="1046" t="s">
        <v>1702</v>
      </c>
      <c r="E57" s="1024" t="s">
        <v>112</v>
      </c>
      <c r="F57" s="1004" t="s">
        <v>1699</v>
      </c>
      <c r="AX57" s="1047" t="s">
        <v>1703</v>
      </c>
      <c r="AZ57" s="1047" t="s">
        <v>1292</v>
      </c>
      <c r="BE57" s="1047">
        <v>2055</v>
      </c>
      <c r="BJ57" s="1144" t="s">
        <v>1659</v>
      </c>
      <c r="BL57" s="1144" t="s">
        <v>1659</v>
      </c>
    </row>
    <row r="58" spans="1:64" ht="11.25" customHeight="1">
      <c r="A58" s="1004" t="s">
        <v>1704</v>
      </c>
      <c r="D58" s="1046" t="s">
        <v>1705</v>
      </c>
      <c r="E58" s="1024" t="s">
        <v>112</v>
      </c>
      <c r="F58" s="1004" t="s">
        <v>1699</v>
      </c>
      <c r="AX58" s="1047" t="s">
        <v>1706</v>
      </c>
      <c r="BE58" s="1047">
        <v>2056</v>
      </c>
      <c r="BJ58" s="1144" t="s">
        <v>1663</v>
      </c>
      <c r="BL58" s="1144" t="s">
        <v>1663</v>
      </c>
    </row>
    <row r="59" spans="1:64" ht="11.25" customHeight="1">
      <c r="A59" s="1004" t="s">
        <v>1707</v>
      </c>
      <c r="D59" s="1046" t="s">
        <v>132</v>
      </c>
      <c r="E59" s="1024" t="s">
        <v>1595</v>
      </c>
      <c r="F59" s="1004" t="s">
        <v>1708</v>
      </c>
      <c r="AX59" s="1047" t="s">
        <v>1709</v>
      </c>
      <c r="AZ59" s="997" t="s">
        <v>1710</v>
      </c>
      <c r="BE59" s="1047">
        <v>2057</v>
      </c>
      <c r="BJ59" s="1144" t="s">
        <v>1666</v>
      </c>
      <c r="BL59" s="1144" t="s">
        <v>1666</v>
      </c>
    </row>
    <row r="60" spans="1:64" ht="11.25" customHeight="1">
      <c r="A60" s="1004" t="s">
        <v>1711</v>
      </c>
      <c r="D60" s="1046" t="s">
        <v>1712</v>
      </c>
      <c r="E60" s="1024" t="s">
        <v>1595</v>
      </c>
      <c r="F60" s="1004" t="s">
        <v>1708</v>
      </c>
      <c r="AX60" s="1047" t="s">
        <v>1713</v>
      </c>
      <c r="AZ60" s="1047" t="s">
        <v>490</v>
      </c>
      <c r="BE60" s="1047">
        <v>2058</v>
      </c>
      <c r="BJ60" s="1144" t="s">
        <v>1672</v>
      </c>
      <c r="BL60" s="1144" t="s">
        <v>1672</v>
      </c>
    </row>
    <row r="61" spans="1:64" ht="11.25" customHeight="1">
      <c r="A61" s="1004" t="s">
        <v>1714</v>
      </c>
      <c r="D61" s="1046" t="s">
        <v>1715</v>
      </c>
      <c r="E61" s="1024" t="s">
        <v>1595</v>
      </c>
      <c r="F61" s="1004" t="s">
        <v>1708</v>
      </c>
      <c r="AX61" s="1047" t="s">
        <v>1716</v>
      </c>
      <c r="AZ61" s="1047" t="s">
        <v>493</v>
      </c>
      <c r="BE61" s="1047">
        <v>2059</v>
      </c>
      <c r="BL61" s="1144" t="s">
        <v>1053</v>
      </c>
    </row>
    <row r="62" spans="1:64" ht="11.25" customHeight="1">
      <c r="A62" s="1004" t="s">
        <v>1717</v>
      </c>
      <c r="D62" s="1046" t="s">
        <v>131</v>
      </c>
      <c r="E62" s="1024">
        <v>30</v>
      </c>
      <c r="F62" s="1004" t="s">
        <v>1708</v>
      </c>
      <c r="AZ62" s="1047" t="s">
        <v>1293</v>
      </c>
      <c r="BE62" s="1047">
        <v>2060</v>
      </c>
      <c r="BL62" s="1144" t="s">
        <v>1055</v>
      </c>
    </row>
    <row r="63" spans="1:64" ht="11.25" customHeight="1">
      <c r="A63" s="1004" t="s">
        <v>1718</v>
      </c>
      <c r="D63" s="1046" t="s">
        <v>1719</v>
      </c>
      <c r="E63" s="1024">
        <v>30</v>
      </c>
      <c r="F63" s="1004" t="s">
        <v>1708</v>
      </c>
      <c r="AZ63" s="1047" t="s">
        <v>1325</v>
      </c>
      <c r="BE63" s="1047">
        <v>2061</v>
      </c>
    </row>
    <row r="64" spans="1:64" ht="11.25" customHeight="1">
      <c r="A64" s="1004" t="s">
        <v>1720</v>
      </c>
      <c r="D64" s="1046" t="s">
        <v>1721</v>
      </c>
      <c r="E64" s="1024">
        <v>30</v>
      </c>
      <c r="F64" s="1004" t="s">
        <v>1708</v>
      </c>
      <c r="AZ64" s="1047" t="s">
        <v>1348</v>
      </c>
      <c r="BE64" s="1047">
        <v>2062</v>
      </c>
    </row>
    <row r="65" spans="1:66" ht="11.25" customHeight="1">
      <c r="A65" s="1004" t="s">
        <v>1722</v>
      </c>
      <c r="D65" s="1004"/>
      <c r="BE65" s="1047">
        <v>2063</v>
      </c>
    </row>
    <row r="66" spans="1:66" ht="11.25" customHeight="1">
      <c r="A66" s="1004" t="s">
        <v>1723</v>
      </c>
      <c r="AZ66" s="997" t="s">
        <v>1724</v>
      </c>
      <c r="BE66" s="1047">
        <v>2064</v>
      </c>
    </row>
    <row r="67" spans="1:66" ht="11.25" customHeight="1">
      <c r="A67" s="1004" t="s">
        <v>1725</v>
      </c>
      <c r="AZ67" s="1047" t="s">
        <v>1235</v>
      </c>
      <c r="BE67" s="1047">
        <v>2065</v>
      </c>
    </row>
    <row r="68" spans="1:66" ht="11.25" customHeight="1">
      <c r="A68" s="1004" t="s">
        <v>1726</v>
      </c>
      <c r="AZ68" s="1047" t="s">
        <v>1259</v>
      </c>
      <c r="BE68" s="1047">
        <v>2066</v>
      </c>
      <c r="BH68" s="997" t="s">
        <v>1727</v>
      </c>
      <c r="BJ68" s="997" t="s">
        <v>1728</v>
      </c>
      <c r="BL68" s="997" t="s">
        <v>1729</v>
      </c>
      <c r="BN68" s="997" t="s">
        <v>1730</v>
      </c>
    </row>
    <row r="69" spans="1:66" ht="11.25" customHeight="1">
      <c r="A69" s="1004" t="s">
        <v>1731</v>
      </c>
      <c r="AZ69" s="1047" t="s">
        <v>1294</v>
      </c>
      <c r="BE69" s="1047">
        <v>2067</v>
      </c>
      <c r="BH69" s="998" t="s">
        <v>1732</v>
      </c>
      <c r="BI69" s="1045" t="s">
        <v>110</v>
      </c>
      <c r="BJ69" s="998" t="s">
        <v>1733</v>
      </c>
      <c r="BK69" s="1045" t="s">
        <v>110</v>
      </c>
      <c r="BL69" s="998" t="s">
        <v>1734</v>
      </c>
      <c r="BM69" s="1000" t="s">
        <v>110</v>
      </c>
      <c r="BN69" s="998" t="s">
        <v>1735</v>
      </c>
    </row>
    <row r="70" spans="1:66" ht="11.25" customHeight="1">
      <c r="A70" s="1004" t="s">
        <v>1736</v>
      </c>
      <c r="AZ70" s="1047" t="s">
        <v>1326</v>
      </c>
      <c r="BE70" s="1047">
        <v>2068</v>
      </c>
      <c r="BH70" s="998" t="s">
        <v>1737</v>
      </c>
      <c r="BJ70" s="998" t="s">
        <v>1738</v>
      </c>
      <c r="BL70" s="998" t="s">
        <v>1739</v>
      </c>
      <c r="BN70" s="998" t="s">
        <v>1740</v>
      </c>
    </row>
    <row r="71" spans="1:66" ht="11.25" customHeight="1">
      <c r="A71" s="1004" t="s">
        <v>1741</v>
      </c>
      <c r="AZ71" s="1047" t="s">
        <v>1328</v>
      </c>
      <c r="BE71" s="1047">
        <v>2069</v>
      </c>
      <c r="BH71" s="998" t="s">
        <v>1742</v>
      </c>
      <c r="BI71" s="1045" t="s">
        <v>90</v>
      </c>
      <c r="BJ71" s="998" t="s">
        <v>1743</v>
      </c>
      <c r="BK71" s="1045" t="s">
        <v>90</v>
      </c>
      <c r="BL71" s="998" t="s">
        <v>1744</v>
      </c>
      <c r="BM71" s="1000" t="s">
        <v>90</v>
      </c>
      <c r="BN71" s="998" t="s">
        <v>1745</v>
      </c>
    </row>
    <row r="72" spans="1:66" ht="11.25" customHeight="1">
      <c r="A72" s="1004" t="s">
        <v>1746</v>
      </c>
      <c r="AZ72" s="1047" t="s">
        <v>19</v>
      </c>
      <c r="BE72" s="1047">
        <v>2070</v>
      </c>
      <c r="BH72" s="998" t="s">
        <v>1747</v>
      </c>
      <c r="BJ72" s="998" t="s">
        <v>1747</v>
      </c>
      <c r="BL72" s="998" t="s">
        <v>1747</v>
      </c>
      <c r="BN72" s="998" t="s">
        <v>1748</v>
      </c>
    </row>
    <row r="73" spans="1:66" ht="11.25" customHeight="1">
      <c r="A73" s="1004" t="s">
        <v>1749</v>
      </c>
      <c r="BH73" s="998" t="s">
        <v>1750</v>
      </c>
      <c r="BI73" s="1045" t="s">
        <v>112</v>
      </c>
      <c r="BJ73" s="998" t="s">
        <v>1751</v>
      </c>
      <c r="BK73" s="1045" t="s">
        <v>112</v>
      </c>
      <c r="BL73" s="998" t="s">
        <v>1752</v>
      </c>
      <c r="BM73" s="1000" t="s">
        <v>112</v>
      </c>
      <c r="BN73" s="998" t="s">
        <v>1753</v>
      </c>
    </row>
    <row r="74" spans="1:66" ht="11.25" customHeight="1">
      <c r="A74" s="1004" t="s">
        <v>1754</v>
      </c>
      <c r="BH74" s="998" t="s">
        <v>1755</v>
      </c>
      <c r="BJ74" s="998" t="s">
        <v>1756</v>
      </c>
      <c r="BL74" s="998" t="s">
        <v>1757</v>
      </c>
      <c r="BN74" s="998" t="s">
        <v>1758</v>
      </c>
    </row>
    <row r="75" spans="1:66" ht="11.25" customHeight="1">
      <c r="A75" s="1004" t="s">
        <v>1759</v>
      </c>
      <c r="AZ75" s="997" t="s">
        <v>1760</v>
      </c>
      <c r="BH75" s="998" t="s">
        <v>1761</v>
      </c>
      <c r="BJ75" s="998" t="s">
        <v>1761</v>
      </c>
      <c r="BL75" s="998" t="s">
        <v>1761</v>
      </c>
    </row>
    <row r="76" spans="1:66" ht="11.25" customHeight="1">
      <c r="A76" s="1004" t="s">
        <v>1762</v>
      </c>
      <c r="AZ76" s="1047" t="s">
        <v>1244</v>
      </c>
      <c r="BH76" s="998" t="s">
        <v>1763</v>
      </c>
      <c r="BJ76" s="998" t="s">
        <v>1764</v>
      </c>
      <c r="BL76" s="998" t="s">
        <v>1765</v>
      </c>
    </row>
    <row r="77" spans="1:66" ht="11.25" customHeight="1">
      <c r="A77" s="1004" t="s">
        <v>1766</v>
      </c>
      <c r="AZ77" s="1047" t="s">
        <v>1269</v>
      </c>
    </row>
    <row r="78" spans="1:66" ht="11.25" customHeight="1">
      <c r="A78" s="1004" t="s">
        <v>1767</v>
      </c>
      <c r="AZ78" s="1047" t="s">
        <v>1301</v>
      </c>
    </row>
    <row r="79" spans="1:66" ht="11.25" customHeight="1">
      <c r="A79" s="1004" t="s">
        <v>1768</v>
      </c>
      <c r="AZ79" s="1047" t="s">
        <v>1332</v>
      </c>
      <c r="BH79" s="997" t="s">
        <v>1769</v>
      </c>
      <c r="BJ79" s="997" t="s">
        <v>1770</v>
      </c>
      <c r="BL79" s="997" t="s">
        <v>1771</v>
      </c>
    </row>
    <row r="80" spans="1:66" ht="11.25" customHeight="1">
      <c r="A80" s="1004" t="s">
        <v>1772</v>
      </c>
      <c r="AZ80" s="1047" t="s">
        <v>1353</v>
      </c>
      <c r="BH80" s="998" t="s">
        <v>1773</v>
      </c>
      <c r="BJ80" s="998" t="s">
        <v>1774</v>
      </c>
      <c r="BL80" s="998" t="s">
        <v>1775</v>
      </c>
    </row>
    <row r="81" spans="1:66" ht="11.25" customHeight="1">
      <c r="A81" s="1004" t="s">
        <v>1776</v>
      </c>
      <c r="AZ81" s="1047" t="s">
        <v>1370</v>
      </c>
      <c r="BH81" s="998" t="s">
        <v>1777</v>
      </c>
      <c r="BJ81" s="998" t="s">
        <v>1778</v>
      </c>
      <c r="BL81" s="998" t="s">
        <v>1779</v>
      </c>
    </row>
    <row r="82" spans="1:66" ht="11.25" customHeight="1">
      <c r="A82" s="1004" t="s">
        <v>1780</v>
      </c>
      <c r="AZ82" s="1047" t="s">
        <v>1385</v>
      </c>
      <c r="BH82" s="998" t="s">
        <v>1781</v>
      </c>
      <c r="BJ82" s="998" t="s">
        <v>1782</v>
      </c>
      <c r="BL82" s="998" t="s">
        <v>1783</v>
      </c>
    </row>
    <row r="83" spans="1:66" ht="11.25" customHeight="1">
      <c r="A83" s="1004" t="s">
        <v>1784</v>
      </c>
      <c r="BH83" s="998" t="s">
        <v>1785</v>
      </c>
      <c r="BJ83" s="998" t="s">
        <v>1786</v>
      </c>
      <c r="BL83" s="998" t="s">
        <v>1787</v>
      </c>
    </row>
    <row r="84" spans="1:66" ht="11.25" customHeight="1">
      <c r="A84" s="1004" t="s">
        <v>1788</v>
      </c>
      <c r="AZ84" s="997" t="s">
        <v>1789</v>
      </c>
    </row>
    <row r="85" spans="1:66" ht="11.25" customHeight="1">
      <c r="A85" s="1795" t="s">
        <v>1790</v>
      </c>
      <c r="AZ85" s="1047" t="s">
        <v>1791</v>
      </c>
    </row>
    <row r="86" spans="1:66" ht="11.25" customHeight="1">
      <c r="A86" s="1004" t="s">
        <v>1792</v>
      </c>
      <c r="AZ86" s="1047" t="s">
        <v>1793</v>
      </c>
      <c r="BH86" s="997" t="s">
        <v>1794</v>
      </c>
      <c r="BJ86" s="997" t="s">
        <v>1795</v>
      </c>
      <c r="BL86" s="997" t="s">
        <v>1796</v>
      </c>
    </row>
    <row r="87" spans="1:66" ht="11.25" customHeight="1">
      <c r="A87" s="1004" t="s">
        <v>1797</v>
      </c>
      <c r="AZ87" s="1047" t="s">
        <v>1798</v>
      </c>
      <c r="BH87" s="998" t="s">
        <v>1799</v>
      </c>
      <c r="BJ87" s="998" t="s">
        <v>1800</v>
      </c>
      <c r="BL87" s="998" t="s">
        <v>1801</v>
      </c>
    </row>
    <row r="88" spans="1:66" ht="11.25" customHeight="1">
      <c r="A88" s="1004" t="s">
        <v>1802</v>
      </c>
      <c r="AZ88" s="1533"/>
      <c r="BH88" s="998" t="s">
        <v>1803</v>
      </c>
      <c r="BJ88" s="998" t="s">
        <v>1804</v>
      </c>
      <c r="BL88" s="998" t="s">
        <v>1805</v>
      </c>
    </row>
    <row r="89" spans="1:66" ht="11.25" customHeight="1">
      <c r="A89" s="1004" t="s">
        <v>1806</v>
      </c>
      <c r="AZ89" s="997" t="s">
        <v>1807</v>
      </c>
    </row>
    <row r="90" spans="1:66" ht="11.25" customHeight="1">
      <c r="A90" s="1004" t="s">
        <v>1808</v>
      </c>
      <c r="AZ90" s="1047" t="s">
        <v>1031</v>
      </c>
    </row>
    <row r="91" spans="1:66" ht="11.25" customHeight="1">
      <c r="A91" s="1004" t="s">
        <v>1809</v>
      </c>
      <c r="AZ91" s="1047" t="s">
        <v>1067</v>
      </c>
      <c r="BH91" s="997" t="s">
        <v>1810</v>
      </c>
      <c r="BJ91" s="997" t="s">
        <v>1811</v>
      </c>
      <c r="BL91" s="997" t="s">
        <v>1812</v>
      </c>
    </row>
    <row r="92" spans="1:66" ht="11.25" customHeight="1">
      <c r="AZ92" s="1047" t="s">
        <v>1813</v>
      </c>
      <c r="BH92" s="998" t="s">
        <v>1814</v>
      </c>
      <c r="BJ92" s="998" t="s">
        <v>1815</v>
      </c>
      <c r="BL92" s="998" t="s">
        <v>1816</v>
      </c>
    </row>
    <row r="93" spans="1:66" ht="11.25" customHeight="1">
      <c r="AZ93" s="1047" t="s">
        <v>1817</v>
      </c>
      <c r="BH93" s="998" t="s">
        <v>1818</v>
      </c>
      <c r="BJ93" s="998" t="s">
        <v>1819</v>
      </c>
      <c r="BL93" s="998" t="s">
        <v>1820</v>
      </c>
    </row>
    <row r="94" spans="1:66" ht="11.25" customHeight="1">
      <c r="AZ94" s="1047" t="s">
        <v>1821</v>
      </c>
    </row>
    <row r="96" spans="1:66" ht="11.25" customHeight="1">
      <c r="AZ96" s="997" t="s">
        <v>1822</v>
      </c>
      <c r="BH96" s="997" t="s">
        <v>1823</v>
      </c>
      <c r="BJ96" s="997" t="s">
        <v>1824</v>
      </c>
      <c r="BL96" s="997" t="s">
        <v>1825</v>
      </c>
      <c r="BN96" s="997" t="s">
        <v>1826</v>
      </c>
    </row>
    <row r="97" spans="52:66" ht="11.25" customHeight="1">
      <c r="AZ97" s="1826" t="s">
        <v>1827</v>
      </c>
      <c r="BA97" s="1827" t="s">
        <v>1828</v>
      </c>
      <c r="BH97" s="998" t="s">
        <v>1829</v>
      </c>
      <c r="BJ97" s="998" t="s">
        <v>1830</v>
      </c>
      <c r="BL97" s="998" t="s">
        <v>1831</v>
      </c>
      <c r="BN97" s="998" t="s">
        <v>1832</v>
      </c>
    </row>
    <row r="98" spans="52:66" ht="11.25" customHeight="1">
      <c r="AZ98" s="1826" t="s">
        <v>1833</v>
      </c>
      <c r="BA98" s="1827" t="s">
        <v>1834</v>
      </c>
      <c r="BH98" s="998" t="s">
        <v>1835</v>
      </c>
      <c r="BJ98" s="998" t="s">
        <v>1836</v>
      </c>
      <c r="BL98" s="998" t="s">
        <v>1837</v>
      </c>
      <c r="BN98" s="998" t="s">
        <v>1838</v>
      </c>
    </row>
    <row r="99" spans="52:66" ht="22.5" customHeight="1">
      <c r="AZ99" s="1826" t="s">
        <v>1839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1840</v>
      </c>
      <c r="BJ99" s="998" t="s">
        <v>1841</v>
      </c>
      <c r="BL99" s="998" t="s">
        <v>1842</v>
      </c>
      <c r="BN99" s="998" t="s">
        <v>1843</v>
      </c>
    </row>
    <row r="100" spans="52:66" ht="22.5" customHeight="1">
      <c r="AZ100" s="1826" t="s">
        <v>1844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1431</v>
      </c>
      <c r="BL100" s="998" t="s">
        <v>1431</v>
      </c>
      <c r="BN100" s="998" t="s">
        <v>1845</v>
      </c>
    </row>
    <row r="101" spans="52:66" ht="22.5" customHeight="1">
      <c r="AZ101" s="1826" t="s">
        <v>1846</v>
      </c>
      <c r="BA101" s="1827" t="s">
        <v>1847</v>
      </c>
      <c r="BN101" s="998" t="s">
        <v>1848</v>
      </c>
    </row>
    <row r="102" spans="52:66" ht="22.5" customHeight="1">
      <c r="AZ102" s="1826" t="s">
        <v>1849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1850</v>
      </c>
    </row>
    <row r="103" spans="52:66" ht="11.25" customHeight="1">
      <c r="AZ103" s="1826" t="s">
        <v>1851</v>
      </c>
      <c r="BA103" s="1827" t="s">
        <v>1852</v>
      </c>
      <c r="BN103" s="998" t="s">
        <v>1853</v>
      </c>
    </row>
    <row r="104" spans="52:66" ht="11.25" customHeight="1">
      <c r="BN104" s="998" t="s">
        <v>1854</v>
      </c>
    </row>
    <row r="105" spans="52:66" ht="11.25" customHeight="1">
      <c r="AZ105" s="1619" t="s">
        <v>1855</v>
      </c>
    </row>
    <row r="106" spans="52:66" ht="11.25" customHeight="1">
      <c r="AZ106" s="1047" t="s">
        <v>483</v>
      </c>
    </row>
    <row r="107" spans="52:66" ht="11.25" customHeight="1">
      <c r="AZ107" s="1047" t="s">
        <v>1856</v>
      </c>
      <c r="BH107" s="997" t="s">
        <v>1857</v>
      </c>
      <c r="BJ107" s="997" t="s">
        <v>1858</v>
      </c>
      <c r="BL107" s="997" t="s">
        <v>1859</v>
      </c>
      <c r="BN107" s="997" t="s">
        <v>1860</v>
      </c>
    </row>
    <row r="108" spans="52:66" ht="11.25" customHeight="1">
      <c r="AZ108" s="1047" t="s">
        <v>584</v>
      </c>
      <c r="BH108" s="998" t="s">
        <v>1861</v>
      </c>
      <c r="BJ108" s="998" t="s">
        <v>1862</v>
      </c>
      <c r="BL108" s="998" t="s">
        <v>1517</v>
      </c>
      <c r="BN108" s="998" t="s">
        <v>1863</v>
      </c>
    </row>
    <row r="109" spans="52:66" ht="11.25" customHeight="1">
      <c r="BH109" s="998" t="s">
        <v>1864</v>
      </c>
    </row>
    <row r="110" spans="52:66" ht="11.25" customHeight="1">
      <c r="AZ110" s="1619" t="s">
        <v>1865</v>
      </c>
      <c r="BH110" s="998" t="s">
        <v>1864</v>
      </c>
    </row>
    <row r="111" spans="52:66" ht="11.25" customHeight="1">
      <c r="AZ111" s="1826" t="s">
        <v>1827</v>
      </c>
      <c r="BA111" s="1827" t="s">
        <v>1828</v>
      </c>
    </row>
    <row r="112" spans="52:66" ht="11.25" customHeight="1">
      <c r="AZ112" s="1826" t="s">
        <v>1833</v>
      </c>
      <c r="BA112" s="1827" t="s">
        <v>1834</v>
      </c>
    </row>
    <row r="113" spans="52:60" ht="22.5" customHeight="1">
      <c r="AZ113" s="1826" t="s">
        <v>1839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1866</v>
      </c>
    </row>
    <row r="115" spans="52:60" ht="22.5" customHeight="1">
      <c r="AZ115" s="1826" t="s">
        <v>1849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453</v>
      </c>
    </row>
    <row r="116" spans="52:60" ht="11.25" customHeight="1">
      <c r="AZ116" s="1826" t="s">
        <v>1851</v>
      </c>
      <c r="BA116" s="1827" t="s">
        <v>1852</v>
      </c>
      <c r="BH116" s="998" t="s">
        <v>1257</v>
      </c>
    </row>
    <row r="117" spans="52:60" ht="11.25" customHeight="1">
      <c r="BH117" s="998" t="s">
        <v>1290</v>
      </c>
    </row>
    <row r="118" spans="52:60" ht="11.25" customHeight="1">
      <c r="BH118" s="99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451</v>
      </c>
      <c r="D2" s="1447"/>
      <c r="E2" s="1453"/>
      <c r="F2" s="1476"/>
      <c r="H2" s="412"/>
      <c r="J2" s="392">
        <v>0</v>
      </c>
    </row>
    <row r="3" spans="1:10" ht="11.25" hidden="1" customHeight="1">
      <c r="J3" s="392">
        <v>0</v>
      </c>
    </row>
    <row r="4" spans="1:10" ht="11.45" customHeight="1">
      <c r="A4" s="1477"/>
      <c r="B4" s="1477"/>
      <c r="J4" s="392">
        <v>11</v>
      </c>
    </row>
    <row r="5" spans="1:10" ht="27.4" customHeight="1">
      <c r="D5" s="210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0"/>
      <c r="F5" s="2111"/>
      <c r="I5" s="652"/>
      <c r="J5" s="392">
        <v>26</v>
      </c>
    </row>
    <row r="6" spans="1:10" ht="18" customHeight="1">
      <c r="D6" s="2204" t="str">
        <f>IF(region_name=0,"Не определено",region_name)</f>
        <v>Пензенская область</v>
      </c>
      <c r="E6" s="2204"/>
      <c r="F6" s="2204"/>
      <c r="I6" s="652"/>
      <c r="J6" s="392">
        <v>17</v>
      </c>
    </row>
    <row r="7" spans="1:10" s="414" customFormat="1" ht="11.45" customHeight="1">
      <c r="A7" s="438"/>
      <c r="B7" s="438"/>
      <c r="D7" s="651"/>
      <c r="E7" s="651"/>
      <c r="F7" s="689"/>
      <c r="G7" s="651"/>
      <c r="J7" s="414">
        <v>11</v>
      </c>
    </row>
    <row r="8" spans="1:10" ht="11.25" hidden="1" customHeight="1">
      <c r="A8" s="439"/>
      <c r="B8" s="439"/>
      <c r="C8" s="394"/>
      <c r="D8" s="400"/>
      <c r="E8" s="2210"/>
      <c r="F8" s="2210"/>
      <c r="J8" s="392">
        <v>0</v>
      </c>
    </row>
    <row r="9" spans="1:10" ht="11.45" customHeight="1">
      <c r="A9" s="439"/>
      <c r="B9" s="439"/>
      <c r="C9" s="394"/>
      <c r="D9" s="2207" t="s">
        <v>306</v>
      </c>
      <c r="E9" s="2208"/>
      <c r="F9" s="2208"/>
      <c r="G9" s="2211" t="s">
        <v>307</v>
      </c>
      <c r="J9" s="392">
        <v>11</v>
      </c>
    </row>
    <row r="10" spans="1:10" ht="11.45" customHeight="1">
      <c r="A10" s="439"/>
      <c r="B10" s="439"/>
      <c r="C10" s="394"/>
      <c r="D10" s="1401" t="s">
        <v>88</v>
      </c>
      <c r="E10" s="1403" t="s">
        <v>308</v>
      </c>
      <c r="F10" s="1403" t="s">
        <v>309</v>
      </c>
      <c r="G10" s="221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ПКФ "Энергетик-2001"</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1867</v>
      </c>
      <c r="F13" s="1448" t="s">
        <v>312</v>
      </c>
      <c r="G13" s="411"/>
      <c r="H13" s="1460"/>
      <c r="J13" s="392">
        <v>19</v>
      </c>
    </row>
    <row r="14" spans="1:10" ht="19.899999999999999" customHeight="1">
      <c r="A14" s="439"/>
      <c r="B14" s="439"/>
      <c r="C14" s="394"/>
      <c r="D14" s="1450" t="s">
        <v>721</v>
      </c>
      <c r="E14" s="1451" t="s">
        <v>1868</v>
      </c>
      <c r="F14" s="1453"/>
      <c r="G14" s="1452" t="s">
        <v>1869</v>
      </c>
      <c r="H14" s="1460"/>
      <c r="J14" s="392">
        <v>19</v>
      </c>
    </row>
    <row r="15" spans="1:10" ht="19.899999999999999" customHeight="1">
      <c r="A15" s="439"/>
      <c r="B15" s="439"/>
      <c r="C15" s="394"/>
      <c r="D15" s="1450" t="s">
        <v>313</v>
      </c>
      <c r="E15" s="1451" t="s">
        <v>1870</v>
      </c>
      <c r="F15" s="1453"/>
      <c r="G15" s="1452" t="s">
        <v>1871</v>
      </c>
      <c r="H15" s="1460"/>
      <c r="J15" s="392">
        <v>19</v>
      </c>
    </row>
    <row r="16" spans="1:10" ht="24" customHeight="1">
      <c r="A16" s="439"/>
      <c r="B16" s="439"/>
      <c r="C16" s="394"/>
      <c r="D16" s="1450" t="s">
        <v>316</v>
      </c>
      <c r="E16" s="1449" t="s">
        <v>1872</v>
      </c>
      <c r="F16" s="1458"/>
      <c r="G16" s="411" t="s">
        <v>1873</v>
      </c>
      <c r="H16" s="1460"/>
      <c r="J16" s="392">
        <v>23</v>
      </c>
    </row>
    <row r="17" spans="1:10" ht="48.2" customHeight="1">
      <c r="A17" s="439"/>
      <c r="B17" s="439"/>
      <c r="C17" s="394"/>
      <c r="D17" s="1447">
        <v>3</v>
      </c>
      <c r="E17" s="1454" t="s">
        <v>1874</v>
      </c>
      <c r="F17" s="1453"/>
      <c r="G17" s="411" t="s">
        <v>1875</v>
      </c>
      <c r="H17" s="1460"/>
      <c r="J17" s="392">
        <v>46</v>
      </c>
    </row>
    <row r="18" spans="1:10" ht="48.2" customHeight="1">
      <c r="A18" s="1402">
        <v>1</v>
      </c>
      <c r="B18" s="439"/>
      <c r="C18" s="1404"/>
      <c r="D18" s="1447" t="s">
        <v>91</v>
      </c>
      <c r="E18" s="1454" t="s">
        <v>1876</v>
      </c>
      <c r="F18" s="1453"/>
      <c r="G18" s="411" t="s">
        <v>1875</v>
      </c>
      <c r="H18" s="1460"/>
      <c r="I18" s="783"/>
      <c r="J18" s="392">
        <v>46</v>
      </c>
    </row>
    <row r="19" spans="1:10" ht="23.25" customHeight="1">
      <c r="A19" s="439"/>
      <c r="B19" s="439"/>
      <c r="C19" s="394"/>
      <c r="D19" s="1447" t="s">
        <v>112</v>
      </c>
      <c r="E19" s="1454" t="s">
        <v>1877</v>
      </c>
      <c r="F19" s="1448" t="s">
        <v>312</v>
      </c>
      <c r="G19" s="2428" t="s">
        <v>1878</v>
      </c>
      <c r="H19" s="412"/>
      <c r="J19" s="392">
        <v>22</v>
      </c>
    </row>
    <row r="20" spans="1:10" s="1457" customFormat="1" ht="5.25" hidden="1" customHeight="1">
      <c r="A20" s="439"/>
      <c r="B20" s="439"/>
      <c r="C20" s="1456"/>
      <c r="D20" s="1455" t="s">
        <v>1128</v>
      </c>
      <c r="E20" s="944"/>
      <c r="F20" s="943"/>
      <c r="G20" s="2429"/>
      <c r="J20" s="1457">
        <v>0</v>
      </c>
    </row>
    <row r="21" spans="1:10" ht="15.75" customHeight="1">
      <c r="A21" s="439"/>
      <c r="B21" s="439"/>
      <c r="C21" s="394"/>
      <c r="D21" s="404"/>
      <c r="E21" s="352" t="s">
        <v>345</v>
      </c>
      <c r="F21" s="406"/>
      <c r="G21" s="2430"/>
      <c r="H21" s="1460"/>
      <c r="J21" s="392">
        <v>15</v>
      </c>
    </row>
    <row r="22" spans="1:10" s="438" customFormat="1" ht="26.25" customHeight="1">
      <c r="A22" s="439"/>
      <c r="B22" s="439"/>
      <c r="C22" s="439"/>
      <c r="D22" s="1447" t="s">
        <v>92</v>
      </c>
      <c r="E22" s="411" t="s">
        <v>1879</v>
      </c>
      <c r="F22" s="1453"/>
      <c r="G22" s="411" t="s">
        <v>1880</v>
      </c>
      <c r="H22" s="1459"/>
      <c r="J22" s="438">
        <v>25</v>
      </c>
    </row>
    <row r="23" spans="1:10" s="438" customFormat="1" ht="19.899999999999999" customHeight="1">
      <c r="A23" s="439"/>
      <c r="B23" s="439"/>
      <c r="C23" s="439"/>
      <c r="D23" s="1447" t="s">
        <v>93</v>
      </c>
      <c r="E23" s="1454" t="s">
        <v>1881</v>
      </c>
      <c r="F23" s="1458"/>
      <c r="G23" s="411" t="s">
        <v>1882</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1883</v>
      </c>
      <c r="G1" s="1558" t="s">
        <v>48</v>
      </c>
      <c r="H1" s="1558" t="s">
        <v>50</v>
      </c>
      <c r="IU1" s="1082" t="s">
        <v>14</v>
      </c>
    </row>
    <row r="2" spans="1:255" s="1775" customFormat="1" ht="22.5" hidden="1" customHeight="1">
      <c r="A2" s="762"/>
      <c r="B2" s="1087">
        <v>1</v>
      </c>
      <c r="C2" s="1087"/>
      <c r="D2" s="1850" t="s">
        <v>451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0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2"/>
      <c r="G5" s="2102"/>
      <c r="H5" s="2102"/>
      <c r="I5" s="2102"/>
      <c r="J5" s="2102"/>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98" t="s">
        <v>306</v>
      </c>
      <c r="F7" s="2103"/>
      <c r="G7" s="2103"/>
      <c r="H7" s="2103"/>
      <c r="I7" s="2103"/>
      <c r="J7" s="2431" t="s">
        <v>307</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1883</v>
      </c>
      <c r="G8" s="1467" t="s">
        <v>48</v>
      </c>
      <c r="H8" s="1467" t="s">
        <v>50</v>
      </c>
      <c r="I8" s="1467" t="s">
        <v>1884</v>
      </c>
      <c r="J8" s="2432"/>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6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1885</v>
      </c>
      <c r="G10" s="1469"/>
      <c r="H10" s="1469"/>
      <c r="I10" s="1824"/>
      <c r="J10" s="216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451</v>
      </c>
      <c r="E2" s="1814"/>
      <c r="F2" s="1817" t="str">
        <f>IF(ROIV_INFO_NAME="","",ROIV_INFO_NAME)</f>
        <v>ООО ПКФ "Энергетик-2001"</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0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2"/>
      <c r="G5" s="2102"/>
      <c r="H5" s="2102"/>
      <c r="I5" s="2102"/>
      <c r="J5" s="2102"/>
      <c r="K5" s="2102"/>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98" t="s">
        <v>306</v>
      </c>
      <c r="F7" s="2103"/>
      <c r="G7" s="2103"/>
      <c r="H7" s="2103"/>
      <c r="I7" s="2103"/>
      <c r="J7" s="2103"/>
      <c r="K7" s="2103"/>
      <c r="L7" s="2431" t="s">
        <v>307</v>
      </c>
      <c r="M7" s="437"/>
      <c r="N7" s="437"/>
      <c r="O7" s="437"/>
      <c r="P7" s="437"/>
      <c r="Q7" s="164"/>
      <c r="R7" s="437"/>
      <c r="S7" s="163"/>
      <c r="T7" s="163"/>
      <c r="U7" s="163"/>
      <c r="V7" s="163"/>
      <c r="IW7" s="444">
        <v>14</v>
      </c>
    </row>
    <row r="8" spans="1:257" s="1745" customFormat="1" ht="67.150000000000006" customHeight="1">
      <c r="A8" s="1082"/>
      <c r="B8" s="1087"/>
      <c r="C8" s="1082"/>
      <c r="D8" s="1422"/>
      <c r="E8" s="2435" t="s">
        <v>88</v>
      </c>
      <c r="F8" s="243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8"/>
      <c r="I8" s="2439"/>
      <c r="J8" s="243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3"/>
      <c r="M8" s="437"/>
      <c r="N8" s="437"/>
      <c r="O8" s="437"/>
      <c r="P8" s="437"/>
      <c r="Q8" s="164"/>
      <c r="R8" s="437"/>
      <c r="S8" s="163"/>
      <c r="T8" s="163"/>
      <c r="U8" s="163"/>
      <c r="V8" s="163"/>
      <c r="IW8" s="444">
        <v>64</v>
      </c>
    </row>
    <row r="9" spans="1:257" s="1745" customFormat="1" ht="29.25" customHeight="1">
      <c r="A9" s="1082"/>
      <c r="B9" s="1087"/>
      <c r="C9" s="1082"/>
      <c r="D9" s="1422"/>
      <c r="E9" s="2436"/>
      <c r="F9" s="2436"/>
      <c r="G9" s="1464" t="s">
        <v>1886</v>
      </c>
      <c r="H9" s="1464" t="s">
        <v>1887</v>
      </c>
      <c r="I9" s="1464" t="s">
        <v>1888</v>
      </c>
      <c r="J9" s="2436"/>
      <c r="K9" s="2436"/>
      <c r="L9" s="2432"/>
      <c r="M9" s="437"/>
      <c r="N9" s="437"/>
      <c r="O9" s="437"/>
      <c r="P9" s="437"/>
      <c r="Q9" s="164"/>
      <c r="R9" s="437"/>
      <c r="S9" s="163"/>
      <c r="T9" s="163"/>
      <c r="U9" s="163"/>
      <c r="V9" s="163"/>
      <c r="IW9" s="444">
        <v>28</v>
      </c>
    </row>
    <row r="10" spans="1:257" s="1775" customFormat="1" ht="23.25" customHeight="1">
      <c r="A10" s="2101"/>
      <c r="B10" s="1087">
        <v>1</v>
      </c>
      <c r="C10" s="1087"/>
      <c r="D10" s="731"/>
      <c r="E10" s="729">
        <v>1</v>
      </c>
      <c r="F10" s="1466" t="str">
        <f>IF(ROIV_INFO_NAME="","",ROIV_INFO_NAME)</f>
        <v>ООО ПКФ "Энергетик-2001"</v>
      </c>
      <c r="G10" s="1658" t="s">
        <v>28</v>
      </c>
      <c r="H10" s="1841"/>
      <c r="I10" s="1461"/>
      <c r="J10" s="749"/>
      <c r="K10" s="749"/>
      <c r="L10" s="24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01"/>
      <c r="B11" s="1087"/>
      <c r="C11" s="349"/>
      <c r="D11" s="732"/>
      <c r="E11" s="358"/>
      <c r="F11" s="353" t="s">
        <v>1889</v>
      </c>
      <c r="G11" s="125"/>
      <c r="H11" s="125"/>
      <c r="I11" s="125"/>
      <c r="J11" s="125"/>
      <c r="K11" s="361"/>
      <c r="L11" s="2434"/>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451</v>
      </c>
      <c r="E2" s="1829"/>
      <c r="F2" s="1831" t="str">
        <f>IF(ROIV_INFO_NAME="","",ROIV_INFO_NAME)</f>
        <v>ООО ПКФ "Энергетик-2001"</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0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2"/>
      <c r="G5" s="2102"/>
      <c r="H5" s="2102"/>
      <c r="I5" s="2102"/>
      <c r="J5" s="2102"/>
      <c r="K5" s="2102"/>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98" t="s">
        <v>306</v>
      </c>
      <c r="F7" s="2103"/>
      <c r="G7" s="2103"/>
      <c r="H7" s="2103"/>
      <c r="I7" s="2103"/>
      <c r="J7" s="2103"/>
      <c r="K7" s="2103"/>
      <c r="L7" s="2431"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35" t="s">
        <v>88</v>
      </c>
      <c r="F8" s="2435" t="s">
        <v>1890</v>
      </c>
      <c r="G8" s="2437" t="s">
        <v>1891</v>
      </c>
      <c r="H8" s="2438"/>
      <c r="I8" s="2439"/>
      <c r="J8" s="2435" t="s">
        <v>1892</v>
      </c>
      <c r="K8" s="243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3"/>
      <c r="M8" s="1551"/>
      <c r="N8" s="1551"/>
      <c r="O8" s="1551"/>
      <c r="P8" s="1551"/>
      <c r="Q8" s="1551"/>
      <c r="R8" s="1551"/>
      <c r="S8" s="163"/>
      <c r="T8" s="163"/>
      <c r="U8" s="163"/>
      <c r="V8" s="163"/>
      <c r="IW8" s="1536">
        <v>64</v>
      </c>
    </row>
    <row r="9" spans="1:257" s="1745" customFormat="1" ht="29.25" customHeight="1">
      <c r="A9" s="1558"/>
      <c r="B9" s="1293"/>
      <c r="C9" s="1558"/>
      <c r="D9" s="1442"/>
      <c r="E9" s="2436"/>
      <c r="F9" s="2436"/>
      <c r="G9" s="1819" t="s">
        <v>1886</v>
      </c>
      <c r="H9" s="1819" t="s">
        <v>1887</v>
      </c>
      <c r="I9" s="1819" t="s">
        <v>1888</v>
      </c>
      <c r="J9" s="2436"/>
      <c r="K9" s="2436"/>
      <c r="L9" s="2432"/>
      <c r="M9" s="1551"/>
      <c r="N9" s="1551"/>
      <c r="O9" s="1551"/>
      <c r="P9" s="1551"/>
      <c r="Q9" s="1551"/>
      <c r="R9" s="1551"/>
      <c r="S9" s="163"/>
      <c r="T9" s="163"/>
      <c r="U9" s="163"/>
      <c r="V9" s="163"/>
      <c r="IW9" s="1536">
        <v>28</v>
      </c>
    </row>
    <row r="10" spans="1:257" s="1775" customFormat="1" ht="1.1499999999999999" customHeight="1">
      <c r="A10" s="2101"/>
      <c r="B10" s="1293">
        <v>1</v>
      </c>
      <c r="C10" s="1293"/>
      <c r="D10" s="731"/>
      <c r="E10" s="726">
        <v>0</v>
      </c>
      <c r="F10" s="1816" t="str">
        <f>IF(ROIV_INFO_NAME="","",ROIV_INFO_NAME)</f>
        <v>ООО ПКФ "Энергетик-2001"</v>
      </c>
      <c r="G10" s="1659" t="s">
        <v>28</v>
      </c>
      <c r="H10" s="1828"/>
      <c r="I10" s="1828"/>
      <c r="J10" s="456"/>
      <c r="K10" s="456"/>
      <c r="L10" s="24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01"/>
      <c r="B11" s="1293"/>
      <c r="C11" s="349"/>
      <c r="D11" s="732"/>
      <c r="E11" s="358"/>
      <c r="F11" s="588" t="s">
        <v>1889</v>
      </c>
      <c r="G11" s="125"/>
      <c r="H11" s="125"/>
      <c r="I11" s="125"/>
      <c r="J11" s="125"/>
      <c r="K11" s="361"/>
      <c r="L11" s="2434"/>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451</v>
      </c>
      <c r="E2" s="2116">
        <v>1</v>
      </c>
      <c r="F2" s="2299" t="str">
        <f>IF(region_name="","",region_name)</f>
        <v>Пензенская область</v>
      </c>
      <c r="G2" s="2448"/>
      <c r="H2" s="2449"/>
      <c r="I2" s="411"/>
      <c r="J2" s="1835">
        <v>1</v>
      </c>
      <c r="K2" s="1837"/>
      <c r="L2" s="1837"/>
      <c r="M2" s="1837"/>
      <c r="N2" s="429"/>
      <c r="O2" s="1462"/>
      <c r="P2" s="448"/>
      <c r="Q2" s="360">
        <v>0</v>
      </c>
    </row>
    <row r="3" spans="1:17" s="1775" customFormat="1" ht="22.5" hidden="1" customHeight="1">
      <c r="A3" s="762"/>
      <c r="B3" s="1087"/>
      <c r="C3" s="1087"/>
      <c r="D3" s="732"/>
      <c r="E3" s="2116"/>
      <c r="F3" s="2299"/>
      <c r="G3" s="2448"/>
      <c r="H3" s="2450"/>
      <c r="I3" s="358"/>
      <c r="J3" s="1427"/>
      <c r="K3" s="1427" t="s">
        <v>1893</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451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2"/>
      <c r="G7" s="2442"/>
      <c r="H7" s="2442"/>
      <c r="I7" s="2442"/>
      <c r="J7" s="2442"/>
      <c r="K7" s="2442"/>
      <c r="L7" s="2442"/>
      <c r="M7" s="2442"/>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45"/>
      <c r="J9" s="2445"/>
      <c r="K9" s="2445"/>
      <c r="L9" s="1839"/>
      <c r="M9" s="1840"/>
      <c r="O9" s="1472"/>
      <c r="P9" s="1472"/>
      <c r="Q9" s="1473">
        <v>0</v>
      </c>
    </row>
    <row r="10" spans="1:17" s="1745" customFormat="1" ht="14.65" customHeight="1">
      <c r="A10" s="1082"/>
      <c r="B10" s="1087"/>
      <c r="C10" s="1082"/>
      <c r="D10" s="1422"/>
      <c r="E10" s="2116" t="s">
        <v>306</v>
      </c>
      <c r="F10" s="2116"/>
      <c r="G10" s="2116"/>
      <c r="H10" s="2116"/>
      <c r="I10" s="2116"/>
      <c r="J10" s="2116"/>
      <c r="K10" s="2116"/>
      <c r="L10" s="2116"/>
      <c r="M10" s="2098"/>
      <c r="N10" s="2435" t="s">
        <v>307</v>
      </c>
      <c r="O10" s="437"/>
      <c r="P10" s="437"/>
      <c r="Q10" s="444">
        <v>14</v>
      </c>
    </row>
    <row r="11" spans="1:17" s="1745" customFormat="1" ht="44.25" customHeight="1">
      <c r="A11" s="1558"/>
      <c r="B11" s="1293"/>
      <c r="C11" s="1558"/>
      <c r="D11" s="1442"/>
      <c r="E11" s="2444" t="s">
        <v>88</v>
      </c>
      <c r="F11" s="2444" t="s">
        <v>310</v>
      </c>
      <c r="G11" s="2444" t="s">
        <v>1894</v>
      </c>
      <c r="H11" s="2444"/>
      <c r="I11" s="2444" t="s">
        <v>1895</v>
      </c>
      <c r="J11" s="2444"/>
      <c r="K11" s="2444"/>
      <c r="L11" s="2444" t="s">
        <v>1896</v>
      </c>
      <c r="M11" s="2437" t="s">
        <v>1897</v>
      </c>
      <c r="N11" s="2443"/>
      <c r="O11" s="1551"/>
      <c r="P11" s="1551"/>
      <c r="Q11" s="1536">
        <v>42</v>
      </c>
    </row>
    <row r="12" spans="1:17" s="1745" customFormat="1" ht="29.25" customHeight="1">
      <c r="A12" s="1082"/>
      <c r="B12" s="1087"/>
      <c r="C12" s="1082"/>
      <c r="D12" s="1422"/>
      <c r="E12" s="2435"/>
      <c r="F12" s="2444"/>
      <c r="G12" s="1834" t="s">
        <v>1898</v>
      </c>
      <c r="H12" s="1834" t="s">
        <v>314</v>
      </c>
      <c r="I12" s="2444"/>
      <c r="J12" s="2444"/>
      <c r="K12" s="2444"/>
      <c r="L12" s="2444"/>
      <c r="M12" s="2437"/>
      <c r="N12" s="2436"/>
      <c r="O12" s="437"/>
      <c r="P12" s="437"/>
      <c r="Q12" s="444">
        <v>28</v>
      </c>
    </row>
    <row r="13" spans="1:17" s="1775" customFormat="1" ht="23.25" customHeight="1">
      <c r="A13" s="2101">
        <v>26379339</v>
      </c>
      <c r="B13" s="1087">
        <v>1</v>
      </c>
      <c r="C13" s="1087"/>
      <c r="D13" s="732"/>
      <c r="E13" s="2116">
        <v>1</v>
      </c>
      <c r="F13" s="2451" t="str">
        <f>IF(region_name="","",region_name)</f>
        <v>Пензенская область</v>
      </c>
      <c r="G13" s="2452"/>
      <c r="H13" s="2446"/>
      <c r="I13" s="411"/>
      <c r="J13" s="1830">
        <v>1</v>
      </c>
      <c r="K13" s="1843"/>
      <c r="L13" s="1844"/>
      <c r="M13" s="1844"/>
      <c r="N13" s="2440" t="s">
        <v>1899</v>
      </c>
      <c r="O13" s="1462"/>
      <c r="P13" s="448"/>
      <c r="Q13" s="360">
        <v>22</v>
      </c>
    </row>
    <row r="14" spans="1:17" s="1775" customFormat="1" ht="23.25" customHeight="1">
      <c r="A14" s="2101"/>
      <c r="B14" s="1087"/>
      <c r="C14" s="1087"/>
      <c r="D14" s="732"/>
      <c r="E14" s="2116"/>
      <c r="F14" s="2451"/>
      <c r="G14" s="2452"/>
      <c r="H14" s="2447"/>
      <c r="I14" s="358"/>
      <c r="J14" s="1427"/>
      <c r="K14" s="1427" t="s">
        <v>1893</v>
      </c>
      <c r="L14" s="1470"/>
      <c r="M14" s="1470"/>
      <c r="N14" s="2441"/>
      <c r="O14" s="1462"/>
      <c r="P14" s="448"/>
      <c r="Q14" s="360">
        <v>22</v>
      </c>
    </row>
    <row r="15" spans="1:17" s="1775" customFormat="1" ht="23.25" customHeight="1">
      <c r="A15" s="2101"/>
      <c r="B15" s="1087"/>
      <c r="C15" s="349"/>
      <c r="D15" s="732"/>
      <c r="E15" s="358"/>
      <c r="F15" s="1427" t="s">
        <v>1885</v>
      </c>
      <c r="G15" s="1469"/>
      <c r="H15" s="1469"/>
      <c r="I15" s="125"/>
      <c r="J15" s="125"/>
      <c r="K15" s="125"/>
      <c r="L15" s="125"/>
      <c r="M15" s="125"/>
      <c r="N15" s="2441"/>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02" t="s">
        <v>1900</v>
      </c>
      <c r="E5" s="2102"/>
      <c r="F5" s="2102"/>
      <c r="G5" s="2102"/>
      <c r="H5" s="2102"/>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12" t="s">
        <v>306</v>
      </c>
      <c r="E8" s="2212"/>
      <c r="F8" s="2212"/>
      <c r="G8" s="2212"/>
      <c r="H8" s="2212"/>
      <c r="I8" s="2212" t="s">
        <v>307</v>
      </c>
      <c r="M8" s="61">
        <v>14</v>
      </c>
    </row>
    <row r="9" spans="1:13" ht="29.25" customHeight="1">
      <c r="D9" s="2212" t="s">
        <v>88</v>
      </c>
      <c r="E9" s="2212" t="s">
        <v>1901</v>
      </c>
      <c r="F9" s="2212"/>
      <c r="G9" s="2212"/>
      <c r="H9" s="2212"/>
      <c r="I9" s="2212"/>
      <c r="M9" s="61">
        <v>28</v>
      </c>
    </row>
    <row r="10" spans="1:13" ht="24" customHeight="1">
      <c r="D10" s="2212"/>
      <c r="E10" s="67" t="s">
        <v>1902</v>
      </c>
      <c r="F10" s="67" t="s">
        <v>1903</v>
      </c>
      <c r="G10" s="67" t="s">
        <v>1904</v>
      </c>
      <c r="H10" s="67" t="s">
        <v>396</v>
      </c>
      <c r="I10" s="2212"/>
      <c r="M10" s="61">
        <v>23</v>
      </c>
    </row>
    <row r="11" spans="1:13" ht="12" hidden="1" customHeight="1">
      <c r="D11" s="27" t="s">
        <v>110</v>
      </c>
      <c r="E11" s="27" t="s">
        <v>91</v>
      </c>
      <c r="F11" s="27" t="s">
        <v>112</v>
      </c>
      <c r="G11" s="27" t="s">
        <v>92</v>
      </c>
      <c r="H11" s="27" t="s">
        <v>93</v>
      </c>
      <c r="I11" s="27" t="s">
        <v>113</v>
      </c>
      <c r="M11" s="61">
        <v>0</v>
      </c>
    </row>
    <row r="12" spans="1:13" s="1748" customFormat="1" ht="26.25" customHeight="1">
      <c r="A12" s="83" t="s">
        <v>90</v>
      </c>
      <c r="B12" s="65" t="s">
        <v>28</v>
      </c>
      <c r="C12" s="66"/>
      <c r="D12" s="68" t="s">
        <v>110</v>
      </c>
      <c r="E12" s="318"/>
      <c r="F12" s="318"/>
      <c r="G12" s="1660" t="s">
        <v>28</v>
      </c>
      <c r="H12" s="319"/>
      <c r="I12" s="2160" t="s">
        <v>1905</v>
      </c>
      <c r="K12" s="210"/>
      <c r="L12" s="211"/>
      <c r="M12" s="57">
        <v>25</v>
      </c>
    </row>
    <row r="13" spans="1:13" ht="15.75" customHeight="1">
      <c r="A13" s="61"/>
      <c r="B13" s="61"/>
      <c r="C13" s="61"/>
      <c r="D13" s="49"/>
      <c r="E13" s="70" t="s">
        <v>473</v>
      </c>
      <c r="F13" s="69"/>
      <c r="G13" s="69"/>
      <c r="H13" s="152"/>
      <c r="I13" s="2162"/>
      <c r="M13" s="61">
        <v>15</v>
      </c>
    </row>
    <row r="14" spans="1:13" ht="3" customHeight="1">
      <c r="A14" s="61"/>
      <c r="B14" s="61"/>
      <c r="C14" s="61"/>
      <c r="M14" s="61">
        <v>3</v>
      </c>
    </row>
    <row r="15" spans="1:13" ht="29.25" customHeight="1">
      <c r="E15" s="2453" t="s">
        <v>1906</v>
      </c>
      <c r="F15" s="2453"/>
      <c r="G15" s="2453"/>
      <c r="H15" s="2453"/>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54" t="s">
        <v>1907</v>
      </c>
      <c r="E7" s="2455"/>
      <c r="F7" s="205"/>
      <c r="J7" s="9">
        <v>22</v>
      </c>
    </row>
    <row r="8" spans="1:10" ht="3" customHeight="1">
      <c r="C8" s="32"/>
      <c r="D8" s="10"/>
      <c r="E8" s="10"/>
      <c r="J8" s="9">
        <v>3</v>
      </c>
    </row>
    <row r="9" spans="1:10" ht="16.899999999999999" customHeight="1">
      <c r="C9" s="32"/>
      <c r="D9" s="45" t="s">
        <v>88</v>
      </c>
      <c r="E9" s="198" t="s">
        <v>1908</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1909</v>
      </c>
      <c r="J13" s="9">
        <v>12</v>
      </c>
    </row>
    <row r="14" spans="1:10" ht="3" customHeight="1">
      <c r="J14" s="9">
        <v>3</v>
      </c>
    </row>
    <row r="15" spans="1:10" ht="23.25" customHeight="1">
      <c r="C15" s="76"/>
      <c r="D15" s="2453" t="s">
        <v>1910</v>
      </c>
      <c r="E15" s="2453"/>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02" t="s">
        <v>1911</v>
      </c>
      <c r="E7" s="2102"/>
      <c r="F7" s="205"/>
      <c r="M7" s="9">
        <v>22</v>
      </c>
    </row>
    <row r="8" spans="1:13" ht="3" customHeight="1">
      <c r="C8" s="32"/>
      <c r="D8" s="10"/>
      <c r="E8" s="10"/>
      <c r="M8" s="9">
        <v>3</v>
      </c>
    </row>
    <row r="9" spans="1:13" ht="16.899999999999999" customHeight="1">
      <c r="C9" s="32"/>
      <c r="D9" s="45" t="s">
        <v>88</v>
      </c>
      <c r="E9" s="48" t="s">
        <v>293</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1909</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83" t="s">
        <v>288</v>
      </c>
      <c r="E4" s="2183"/>
      <c r="F4" s="2183"/>
      <c r="G4" s="2183"/>
      <c r="H4" s="2183"/>
      <c r="I4" s="2183"/>
      <c r="J4" s="2183"/>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04" t="str">
        <f>IF(org=0,"Не определено",org)</f>
        <v>ООО ПКФ "Энергетик-2001"</v>
      </c>
      <c r="E5" s="2204"/>
      <c r="F5" s="2204"/>
      <c r="G5" s="2204"/>
      <c r="H5" s="2204"/>
      <c r="I5" s="2204"/>
      <c r="J5" s="220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6" t="s">
        <v>88</v>
      </c>
      <c r="E8" s="2116" t="s">
        <v>106</v>
      </c>
      <c r="F8" s="2185" t="s">
        <v>123</v>
      </c>
      <c r="G8" s="2186"/>
      <c r="H8" s="2185" t="s">
        <v>88</v>
      </c>
      <c r="I8" s="2186"/>
      <c r="J8" s="2116" t="s">
        <v>124</v>
      </c>
      <c r="K8" s="1483"/>
      <c r="L8" s="2184" t="s">
        <v>289</v>
      </c>
      <c r="M8" s="2184"/>
      <c r="N8" s="2184"/>
      <c r="O8" s="2184"/>
      <c r="P8" s="2184"/>
      <c r="Q8" s="1484"/>
      <c r="R8" s="2098" t="s">
        <v>290</v>
      </c>
      <c r="S8" s="2103"/>
      <c r="T8" s="2103"/>
      <c r="U8" s="2103"/>
      <c r="V8" s="2103"/>
      <c r="W8" s="1484"/>
      <c r="X8" s="2116" t="s">
        <v>291</v>
      </c>
      <c r="Y8" s="2116"/>
      <c r="Z8" s="2116"/>
      <c r="AA8" s="2116"/>
      <c r="AB8" s="2116"/>
      <c r="AC8" s="1485"/>
      <c r="AD8" s="2116" t="s">
        <v>292</v>
      </c>
      <c r="AE8" s="2116"/>
      <c r="AF8" s="2116"/>
      <c r="AG8" s="2116"/>
      <c r="AH8" s="2098"/>
      <c r="AI8" s="2116" t="s">
        <v>293</v>
      </c>
      <c r="AJ8" s="1501"/>
      <c r="BM8" s="231">
        <v>32</v>
      </c>
    </row>
    <row r="9" spans="1:65" ht="23.25" customHeight="1">
      <c r="D9" s="2116"/>
      <c r="E9" s="2116"/>
      <c r="F9" s="2184" t="s">
        <v>89</v>
      </c>
      <c r="G9" s="2184" t="s">
        <v>129</v>
      </c>
      <c r="H9" s="2187"/>
      <c r="I9" s="2188"/>
      <c r="J9" s="2098"/>
      <c r="K9" s="1486"/>
      <c r="L9" s="2116" t="s">
        <v>294</v>
      </c>
      <c r="M9" s="2098"/>
      <c r="N9" s="2185" t="s">
        <v>88</v>
      </c>
      <c r="O9" s="2186"/>
      <c r="P9" s="2116" t="s">
        <v>130</v>
      </c>
      <c r="Q9" s="1483"/>
      <c r="R9" s="2116" t="s">
        <v>294</v>
      </c>
      <c r="S9" s="2098"/>
      <c r="T9" s="2185" t="s">
        <v>88</v>
      </c>
      <c r="U9" s="2186"/>
      <c r="V9" s="2116" t="s">
        <v>130</v>
      </c>
      <c r="W9" s="1483"/>
      <c r="X9" s="2116" t="s">
        <v>294</v>
      </c>
      <c r="Y9" s="2098"/>
      <c r="Z9" s="2185" t="s">
        <v>88</v>
      </c>
      <c r="AA9" s="2186"/>
      <c r="AB9" s="2116" t="s">
        <v>295</v>
      </c>
      <c r="AC9" s="1483"/>
      <c r="AD9" s="2116" t="s">
        <v>294</v>
      </c>
      <c r="AE9" s="2098"/>
      <c r="AF9" s="2185" t="s">
        <v>88</v>
      </c>
      <c r="AG9" s="2186"/>
      <c r="AH9" s="2098" t="s">
        <v>295</v>
      </c>
      <c r="AI9" s="2116"/>
      <c r="AJ9" s="1501"/>
      <c r="BM9" s="231">
        <v>22</v>
      </c>
    </row>
    <row r="10" spans="1:65" ht="24" customHeight="1">
      <c r="D10" s="2184"/>
      <c r="E10" s="2184"/>
      <c r="F10" s="2189"/>
      <c r="G10" s="2189"/>
      <c r="H10" s="2190"/>
      <c r="I10" s="2191"/>
      <c r="J10" s="2185"/>
      <c r="K10" s="1486"/>
      <c r="L10" s="1505" t="s">
        <v>296</v>
      </c>
      <c r="M10" s="1500" t="s">
        <v>297</v>
      </c>
      <c r="N10" s="2187"/>
      <c r="O10" s="2188"/>
      <c r="P10" s="2184"/>
      <c r="Q10" s="1483"/>
      <c r="R10" s="1505" t="s">
        <v>296</v>
      </c>
      <c r="S10" s="1500" t="s">
        <v>297</v>
      </c>
      <c r="T10" s="2187"/>
      <c r="U10" s="2188"/>
      <c r="V10" s="2184"/>
      <c r="W10" s="1483"/>
      <c r="X10" s="1505" t="s">
        <v>296</v>
      </c>
      <c r="Y10" s="1500" t="s">
        <v>297</v>
      </c>
      <c r="Z10" s="2187"/>
      <c r="AA10" s="2188"/>
      <c r="AB10" s="2184"/>
      <c r="AC10" s="1483"/>
      <c r="AD10" s="1505" t="s">
        <v>296</v>
      </c>
      <c r="AE10" s="1500" t="s">
        <v>297</v>
      </c>
      <c r="AF10" s="2187"/>
      <c r="AG10" s="2188"/>
      <c r="AH10" s="2185"/>
      <c r="AI10" s="2184"/>
      <c r="AJ10" s="1501"/>
      <c r="AK10" s="192" t="s">
        <v>298</v>
      </c>
      <c r="AL10" s="192" t="s">
        <v>131</v>
      </c>
      <c r="BM10" s="231">
        <v>23</v>
      </c>
    </row>
    <row r="11" spans="1:65" ht="15" customHeight="1">
      <c r="D11" s="2192" t="s">
        <v>110</v>
      </c>
      <c r="E11" s="2194" t="s">
        <v>299</v>
      </c>
      <c r="F11" s="2194" t="s">
        <v>300</v>
      </c>
      <c r="G11" s="2176" t="s">
        <v>19</v>
      </c>
      <c r="H11" s="1526"/>
      <c r="I11" s="2197"/>
      <c r="J11" s="2144"/>
      <c r="K11" s="1441"/>
      <c r="L11" s="2136"/>
      <c r="M11" s="2136"/>
      <c r="N11" s="1511"/>
      <c r="O11" s="2136"/>
      <c r="P11" s="2144"/>
      <c r="Q11" s="1512"/>
      <c r="R11" s="2136"/>
      <c r="S11" s="2136"/>
      <c r="T11" s="1513"/>
      <c r="U11" s="2136"/>
      <c r="V11" s="2144"/>
      <c r="W11" s="1514"/>
      <c r="X11" s="2136"/>
      <c r="Y11" s="2136"/>
      <c r="Z11" s="1511"/>
      <c r="AA11" s="2136"/>
      <c r="AB11" s="2144"/>
      <c r="AC11" s="1515"/>
      <c r="AD11" s="2136"/>
      <c r="AE11" s="2136"/>
      <c r="AF11" s="1440"/>
      <c r="AG11" s="1440"/>
      <c r="AH11" s="1516"/>
      <c r="AI11" s="1223"/>
      <c r="AJ11" s="1501"/>
      <c r="BM11" s="231">
        <v>14</v>
      </c>
    </row>
    <row r="12" spans="1:65" ht="14.65" customHeight="1">
      <c r="D12" s="2192"/>
      <c r="E12" s="2194"/>
      <c r="F12" s="2194"/>
      <c r="G12" s="2177"/>
      <c r="H12" s="1527"/>
      <c r="I12" s="2198"/>
      <c r="J12" s="2145"/>
      <c r="K12" s="1537"/>
      <c r="L12" s="2137"/>
      <c r="M12" s="2137"/>
      <c r="N12" s="1517"/>
      <c r="O12" s="2137"/>
      <c r="P12" s="2145"/>
      <c r="Q12" s="1518"/>
      <c r="R12" s="2137"/>
      <c r="S12" s="2137"/>
      <c r="T12" s="1519"/>
      <c r="U12" s="2137"/>
      <c r="V12" s="2145"/>
      <c r="W12" s="1520"/>
      <c r="X12" s="2137"/>
      <c r="Y12" s="2137"/>
      <c r="Z12" s="1517"/>
      <c r="AA12" s="2137"/>
      <c r="AB12" s="2145"/>
      <c r="AC12" s="1521"/>
      <c r="AD12" s="2137"/>
      <c r="AE12" s="2137"/>
      <c r="AF12" s="1522"/>
      <c r="AG12" s="1522"/>
      <c r="AH12" s="2201"/>
      <c r="AI12" s="2202"/>
      <c r="AJ12" s="1501"/>
      <c r="BM12" s="231">
        <v>14</v>
      </c>
    </row>
    <row r="13" spans="1:65" ht="14.65" customHeight="1">
      <c r="D13" s="2192"/>
      <c r="E13" s="2194"/>
      <c r="F13" s="2194"/>
      <c r="G13" s="2177"/>
      <c r="H13" s="1527"/>
      <c r="I13" s="2198"/>
      <c r="J13" s="2145"/>
      <c r="K13" s="1537"/>
      <c r="L13" s="2137"/>
      <c r="M13" s="2137"/>
      <c r="N13" s="1517"/>
      <c r="O13" s="2137"/>
      <c r="P13" s="2145"/>
      <c r="Q13" s="1518"/>
      <c r="R13" s="2137"/>
      <c r="S13" s="2137"/>
      <c r="T13" s="1519"/>
      <c r="U13" s="2137"/>
      <c r="V13" s="2145"/>
      <c r="W13" s="1520"/>
      <c r="X13" s="2137"/>
      <c r="Y13" s="2137"/>
      <c r="Z13" s="1439"/>
      <c r="AA13" s="1522"/>
      <c r="AB13" s="2201"/>
      <c r="AC13" s="2201"/>
      <c r="AD13" s="2201"/>
      <c r="AE13" s="2201"/>
      <c r="AF13" s="2201"/>
      <c r="AG13" s="2201"/>
      <c r="AH13" s="2201"/>
      <c r="AI13" s="2202"/>
      <c r="AJ13" s="1501"/>
      <c r="BM13" s="231">
        <v>14</v>
      </c>
    </row>
    <row r="14" spans="1:65" ht="14.65" customHeight="1">
      <c r="D14" s="2192"/>
      <c r="E14" s="2194"/>
      <c r="F14" s="2194"/>
      <c r="G14" s="2177"/>
      <c r="H14" s="1527"/>
      <c r="I14" s="2198"/>
      <c r="J14" s="2145"/>
      <c r="K14" s="1537"/>
      <c r="L14" s="2137"/>
      <c r="M14" s="2137"/>
      <c r="N14" s="1517"/>
      <c r="O14" s="2137"/>
      <c r="P14" s="2145"/>
      <c r="Q14" s="1518"/>
      <c r="R14" s="2137"/>
      <c r="S14" s="2137"/>
      <c r="T14" s="1523"/>
      <c r="U14" s="1524"/>
      <c r="V14" s="2201"/>
      <c r="W14" s="2201"/>
      <c r="X14" s="2201"/>
      <c r="Y14" s="2201"/>
      <c r="Z14" s="2201"/>
      <c r="AA14" s="2201"/>
      <c r="AB14" s="2201"/>
      <c r="AC14" s="2201"/>
      <c r="AD14" s="2201"/>
      <c r="AE14" s="2201"/>
      <c r="AF14" s="2201"/>
      <c r="AG14" s="2201"/>
      <c r="AH14" s="2201"/>
      <c r="AI14" s="2202"/>
      <c r="AJ14" s="1501"/>
      <c r="BM14" s="231">
        <v>14</v>
      </c>
    </row>
    <row r="15" spans="1:65" ht="11.45" customHeight="1">
      <c r="D15" s="2192"/>
      <c r="E15" s="2194"/>
      <c r="F15" s="2194"/>
      <c r="G15" s="2177"/>
      <c r="H15" s="1528"/>
      <c r="I15" s="2198"/>
      <c r="J15" s="2145"/>
      <c r="K15" s="1537"/>
      <c r="L15" s="2137"/>
      <c r="M15" s="2137"/>
      <c r="N15" s="1522"/>
      <c r="O15" s="1522"/>
      <c r="P15" s="2201"/>
      <c r="Q15" s="2201"/>
      <c r="R15" s="2201"/>
      <c r="S15" s="2201"/>
      <c r="T15" s="2201"/>
      <c r="U15" s="2201"/>
      <c r="V15" s="2201"/>
      <c r="W15" s="2201"/>
      <c r="X15" s="2201"/>
      <c r="Y15" s="2201"/>
      <c r="Z15" s="2201"/>
      <c r="AA15" s="2201"/>
      <c r="AB15" s="2201"/>
      <c r="AC15" s="2201"/>
      <c r="AD15" s="2201"/>
      <c r="AE15" s="2201"/>
      <c r="AF15" s="2201"/>
      <c r="AG15" s="2201"/>
      <c r="AH15" s="2201"/>
      <c r="AI15" s="2202"/>
      <c r="AJ15" s="1501"/>
      <c r="BM15" s="231">
        <v>11</v>
      </c>
    </row>
    <row r="16" spans="1:65" s="1481" customFormat="1" ht="11.45" customHeight="1">
      <c r="D16" s="2193"/>
      <c r="E16" s="2195"/>
      <c r="F16" s="2196"/>
      <c r="G16" s="2131"/>
      <c r="H16" s="1525"/>
      <c r="I16" s="1529"/>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200"/>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92" t="s">
        <v>111</v>
      </c>
      <c r="E17" s="2194" t="s">
        <v>299</v>
      </c>
      <c r="F17" s="2194" t="s">
        <v>301</v>
      </c>
      <c r="G17" s="2176" t="s">
        <v>19</v>
      </c>
      <c r="H17" s="1526"/>
      <c r="I17" s="2197"/>
      <c r="J17" s="2144"/>
      <c r="K17" s="1441"/>
      <c r="L17" s="2136"/>
      <c r="M17" s="2136"/>
      <c r="N17" s="1511"/>
      <c r="O17" s="2136"/>
      <c r="P17" s="2144"/>
      <c r="Q17" s="1512"/>
      <c r="R17" s="2136"/>
      <c r="S17" s="2136"/>
      <c r="T17" s="1513"/>
      <c r="U17" s="2136"/>
      <c r="V17" s="2144"/>
      <c r="W17" s="1514"/>
      <c r="X17" s="2136"/>
      <c r="Y17" s="2136"/>
      <c r="Z17" s="1511"/>
      <c r="AA17" s="2136"/>
      <c r="AB17" s="2144"/>
      <c r="AC17" s="1515"/>
      <c r="AD17" s="2136"/>
      <c r="AE17" s="2136"/>
      <c r="AF17" s="1440"/>
      <c r="AG17" s="1440"/>
      <c r="AH17" s="1516"/>
      <c r="AI17" s="1223"/>
      <c r="AJ17" s="1501"/>
      <c r="BM17" s="231">
        <v>14</v>
      </c>
    </row>
    <row r="18" spans="4:65" ht="14.65" customHeight="1">
      <c r="D18" s="2192"/>
      <c r="E18" s="2194"/>
      <c r="F18" s="2194"/>
      <c r="G18" s="2177"/>
      <c r="H18" s="1527"/>
      <c r="I18" s="2198"/>
      <c r="J18" s="2145"/>
      <c r="K18" s="1510"/>
      <c r="L18" s="2137"/>
      <c r="M18" s="2137"/>
      <c r="N18" s="1517"/>
      <c r="O18" s="2137"/>
      <c r="P18" s="2145"/>
      <c r="Q18" s="1518"/>
      <c r="R18" s="2137"/>
      <c r="S18" s="2137"/>
      <c r="T18" s="1519"/>
      <c r="U18" s="2137"/>
      <c r="V18" s="2145"/>
      <c r="W18" s="1520"/>
      <c r="X18" s="2137"/>
      <c r="Y18" s="2137"/>
      <c r="Z18" s="1517"/>
      <c r="AA18" s="2137"/>
      <c r="AB18" s="2145"/>
      <c r="AC18" s="1521"/>
      <c r="AD18" s="2137"/>
      <c r="AE18" s="2137"/>
      <c r="AF18" s="1522"/>
      <c r="AG18" s="1522"/>
      <c r="AH18" s="2201"/>
      <c r="AI18" s="2202"/>
      <c r="AJ18" s="1501"/>
      <c r="BM18" s="231">
        <v>14</v>
      </c>
    </row>
    <row r="19" spans="4:65" ht="14.65" customHeight="1">
      <c r="D19" s="2192"/>
      <c r="E19" s="2194"/>
      <c r="F19" s="2194"/>
      <c r="G19" s="2177"/>
      <c r="H19" s="1527"/>
      <c r="I19" s="2198"/>
      <c r="J19" s="2145"/>
      <c r="K19" s="1510"/>
      <c r="L19" s="2137"/>
      <c r="M19" s="2137"/>
      <c r="N19" s="1517"/>
      <c r="O19" s="2137"/>
      <c r="P19" s="2145"/>
      <c r="Q19" s="1518"/>
      <c r="R19" s="2137"/>
      <c r="S19" s="2137"/>
      <c r="T19" s="1519"/>
      <c r="U19" s="2137"/>
      <c r="V19" s="2145"/>
      <c r="W19" s="1520"/>
      <c r="X19" s="2137"/>
      <c r="Y19" s="2137"/>
      <c r="Z19" s="1439"/>
      <c r="AA19" s="1522"/>
      <c r="AB19" s="2201"/>
      <c r="AC19" s="2201"/>
      <c r="AD19" s="2201"/>
      <c r="AE19" s="2201"/>
      <c r="AF19" s="2201"/>
      <c r="AG19" s="2201"/>
      <c r="AH19" s="2201"/>
      <c r="AI19" s="2202"/>
      <c r="AJ19" s="1501"/>
      <c r="BM19" s="231">
        <v>14</v>
      </c>
    </row>
    <row r="20" spans="4:65" ht="14.65" customHeight="1">
      <c r="D20" s="2192"/>
      <c r="E20" s="2194"/>
      <c r="F20" s="2194"/>
      <c r="G20" s="2177"/>
      <c r="H20" s="1527"/>
      <c r="I20" s="2198"/>
      <c r="J20" s="2145"/>
      <c r="K20" s="1510"/>
      <c r="L20" s="2137"/>
      <c r="M20" s="2137"/>
      <c r="N20" s="1517"/>
      <c r="O20" s="2137"/>
      <c r="P20" s="2145"/>
      <c r="Q20" s="1518"/>
      <c r="R20" s="2137"/>
      <c r="S20" s="2137"/>
      <c r="T20" s="1523"/>
      <c r="U20" s="1524"/>
      <c r="V20" s="2201"/>
      <c r="W20" s="2201"/>
      <c r="X20" s="2201"/>
      <c r="Y20" s="2201"/>
      <c r="Z20" s="2201"/>
      <c r="AA20" s="2201"/>
      <c r="AB20" s="2201"/>
      <c r="AC20" s="2201"/>
      <c r="AD20" s="2201"/>
      <c r="AE20" s="2201"/>
      <c r="AF20" s="2201"/>
      <c r="AG20" s="2201"/>
      <c r="AH20" s="2201"/>
      <c r="AI20" s="2202"/>
      <c r="AJ20" s="1501"/>
      <c r="BM20" s="231">
        <v>14</v>
      </c>
    </row>
    <row r="21" spans="4:65" ht="11.45" customHeight="1">
      <c r="D21" s="2192"/>
      <c r="E21" s="2194"/>
      <c r="F21" s="2194"/>
      <c r="G21" s="2177"/>
      <c r="H21" s="1528"/>
      <c r="I21" s="2198"/>
      <c r="J21" s="2145"/>
      <c r="K21" s="1510"/>
      <c r="L21" s="2137"/>
      <c r="M21" s="2137"/>
      <c r="N21" s="1522"/>
      <c r="O21" s="1522"/>
      <c r="P21" s="2201"/>
      <c r="Q21" s="2201"/>
      <c r="R21" s="2201"/>
      <c r="S21" s="2201"/>
      <c r="T21" s="2201"/>
      <c r="U21" s="2201"/>
      <c r="V21" s="2201"/>
      <c r="W21" s="2201"/>
      <c r="X21" s="2201"/>
      <c r="Y21" s="2201"/>
      <c r="Z21" s="2201"/>
      <c r="AA21" s="2201"/>
      <c r="AB21" s="2201"/>
      <c r="AC21" s="2201"/>
      <c r="AD21" s="2201"/>
      <c r="AE21" s="2201"/>
      <c r="AF21" s="2201"/>
      <c r="AG21" s="2201"/>
      <c r="AH21" s="2201"/>
      <c r="AI21" s="2202"/>
      <c r="AJ21" s="1501"/>
      <c r="BM21" s="231">
        <v>11</v>
      </c>
    </row>
    <row r="22" spans="4:65" s="1481" customFormat="1" ht="11.45" customHeight="1">
      <c r="D22" s="2193"/>
      <c r="E22" s="2195"/>
      <c r="F22" s="2196"/>
      <c r="G22" s="2131"/>
      <c r="H22" s="1525"/>
      <c r="I22" s="1529"/>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200"/>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92" t="s">
        <v>90</v>
      </c>
      <c r="E23" s="2194" t="s">
        <v>299</v>
      </c>
      <c r="F23" s="2194" t="s">
        <v>302</v>
      </c>
      <c r="G23" s="2176" t="s">
        <v>19</v>
      </c>
      <c r="H23" s="1526"/>
      <c r="I23" s="2197"/>
      <c r="J23" s="2144"/>
      <c r="K23" s="1441"/>
      <c r="L23" s="2136"/>
      <c r="M23" s="2136"/>
      <c r="N23" s="1511"/>
      <c r="O23" s="2136"/>
      <c r="P23" s="2144"/>
      <c r="Q23" s="1512"/>
      <c r="R23" s="2136"/>
      <c r="S23" s="2136"/>
      <c r="T23" s="1513"/>
      <c r="U23" s="2136"/>
      <c r="V23" s="2144"/>
      <c r="W23" s="1514"/>
      <c r="X23" s="2136"/>
      <c r="Y23" s="2136"/>
      <c r="Z23" s="1511"/>
      <c r="AA23" s="2136"/>
      <c r="AB23" s="2144"/>
      <c r="AC23" s="1515"/>
      <c r="AD23" s="2136"/>
      <c r="AE23" s="2136"/>
      <c r="AF23" s="1440"/>
      <c r="AG23" s="1440"/>
      <c r="AH23" s="1516"/>
      <c r="AI23" s="1223"/>
      <c r="AJ23" s="1501"/>
      <c r="AK23" s="244" t="s">
        <v>98</v>
      </c>
      <c r="BM23" s="231">
        <v>14</v>
      </c>
    </row>
    <row r="24" spans="4:65" ht="14.65" customHeight="1">
      <c r="D24" s="2192"/>
      <c r="E24" s="2194"/>
      <c r="F24" s="2194"/>
      <c r="G24" s="2177"/>
      <c r="H24" s="1527"/>
      <c r="I24" s="2198"/>
      <c r="J24" s="2145"/>
      <c r="K24" s="1537"/>
      <c r="L24" s="2137"/>
      <c r="M24" s="2137"/>
      <c r="N24" s="1517"/>
      <c r="O24" s="2137"/>
      <c r="P24" s="2145"/>
      <c r="Q24" s="1518"/>
      <c r="R24" s="2137"/>
      <c r="S24" s="2137"/>
      <c r="T24" s="1519"/>
      <c r="U24" s="2137"/>
      <c r="V24" s="2145"/>
      <c r="W24" s="1520"/>
      <c r="X24" s="2137"/>
      <c r="Y24" s="2137"/>
      <c r="Z24" s="1517"/>
      <c r="AA24" s="2137"/>
      <c r="AB24" s="2145"/>
      <c r="AC24" s="1521"/>
      <c r="AD24" s="2137"/>
      <c r="AE24" s="2137"/>
      <c r="AF24" s="1522"/>
      <c r="AG24" s="1522"/>
      <c r="AH24" s="2201"/>
      <c r="AI24" s="2202"/>
      <c r="AJ24" s="1501"/>
      <c r="BM24" s="231">
        <v>14</v>
      </c>
    </row>
    <row r="25" spans="4:65" ht="14.65" customHeight="1">
      <c r="D25" s="2192"/>
      <c r="E25" s="2194"/>
      <c r="F25" s="2194"/>
      <c r="G25" s="2177"/>
      <c r="H25" s="1527"/>
      <c r="I25" s="2198"/>
      <c r="J25" s="2145"/>
      <c r="K25" s="1537"/>
      <c r="L25" s="2137"/>
      <c r="M25" s="2137"/>
      <c r="N25" s="1517"/>
      <c r="O25" s="2137"/>
      <c r="P25" s="2145"/>
      <c r="Q25" s="1518"/>
      <c r="R25" s="2137"/>
      <c r="S25" s="2137"/>
      <c r="T25" s="1519"/>
      <c r="U25" s="2137"/>
      <c r="V25" s="2145"/>
      <c r="W25" s="1520"/>
      <c r="X25" s="2137"/>
      <c r="Y25" s="2137"/>
      <c r="Z25" s="1439"/>
      <c r="AA25" s="1522"/>
      <c r="AB25" s="2201"/>
      <c r="AC25" s="2201"/>
      <c r="AD25" s="2201"/>
      <c r="AE25" s="2201"/>
      <c r="AF25" s="2201"/>
      <c r="AG25" s="2201"/>
      <c r="AH25" s="2201"/>
      <c r="AI25" s="2202"/>
      <c r="AJ25" s="1501"/>
      <c r="BM25" s="231">
        <v>14</v>
      </c>
    </row>
    <row r="26" spans="4:65" ht="14.65" customHeight="1">
      <c r="D26" s="2192"/>
      <c r="E26" s="2194"/>
      <c r="F26" s="2194"/>
      <c r="G26" s="2177"/>
      <c r="H26" s="1527"/>
      <c r="I26" s="2198"/>
      <c r="J26" s="2145"/>
      <c r="K26" s="1537"/>
      <c r="L26" s="2137"/>
      <c r="M26" s="2137"/>
      <c r="N26" s="1517"/>
      <c r="O26" s="2137"/>
      <c r="P26" s="2145"/>
      <c r="Q26" s="1518"/>
      <c r="R26" s="2137"/>
      <c r="S26" s="2137"/>
      <c r="T26" s="1523"/>
      <c r="U26" s="1524"/>
      <c r="V26" s="2201"/>
      <c r="W26" s="2201"/>
      <c r="X26" s="2201"/>
      <c r="Y26" s="2201"/>
      <c r="Z26" s="2201"/>
      <c r="AA26" s="2201"/>
      <c r="AB26" s="2201"/>
      <c r="AC26" s="2201"/>
      <c r="AD26" s="2201"/>
      <c r="AE26" s="2201"/>
      <c r="AF26" s="2201"/>
      <c r="AG26" s="2201"/>
      <c r="AH26" s="2201"/>
      <c r="AI26" s="2202"/>
      <c r="AJ26" s="1501"/>
      <c r="BM26" s="231">
        <v>14</v>
      </c>
    </row>
    <row r="27" spans="4:65" ht="11.45" customHeight="1">
      <c r="D27" s="2192"/>
      <c r="E27" s="2194"/>
      <c r="F27" s="2194"/>
      <c r="G27" s="2177"/>
      <c r="H27" s="1528"/>
      <c r="I27" s="2198"/>
      <c r="J27" s="2145"/>
      <c r="K27" s="1537"/>
      <c r="L27" s="2137"/>
      <c r="M27" s="2137"/>
      <c r="N27" s="1522"/>
      <c r="O27" s="1522"/>
      <c r="P27" s="2201"/>
      <c r="Q27" s="2201"/>
      <c r="R27" s="2201"/>
      <c r="S27" s="2201"/>
      <c r="T27" s="2201"/>
      <c r="U27" s="2201"/>
      <c r="V27" s="2201"/>
      <c r="W27" s="2201"/>
      <c r="X27" s="2201"/>
      <c r="Y27" s="2201"/>
      <c r="Z27" s="2201"/>
      <c r="AA27" s="2201"/>
      <c r="AB27" s="2201"/>
      <c r="AC27" s="2201"/>
      <c r="AD27" s="2201"/>
      <c r="AE27" s="2201"/>
      <c r="AF27" s="2201"/>
      <c r="AG27" s="2201"/>
      <c r="AH27" s="2201"/>
      <c r="AI27" s="2202"/>
      <c r="AJ27" s="1501"/>
      <c r="BM27" s="231">
        <v>11</v>
      </c>
    </row>
    <row r="28" spans="4:65" s="1481" customFormat="1" ht="11.45" customHeight="1">
      <c r="D28" s="2193"/>
      <c r="E28" s="2195"/>
      <c r="F28" s="2196"/>
      <c r="G28" s="2131"/>
      <c r="H28" s="1525"/>
      <c r="I28" s="1529"/>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200"/>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92" t="s">
        <v>91</v>
      </c>
      <c r="E29" s="2194" t="s">
        <v>299</v>
      </c>
      <c r="F29" s="2194" t="s">
        <v>303</v>
      </c>
      <c r="G29" s="2176" t="s">
        <v>19</v>
      </c>
      <c r="H29" s="1526"/>
      <c r="I29" s="2197"/>
      <c r="J29" s="2144"/>
      <c r="K29" s="1441"/>
      <c r="L29" s="2136"/>
      <c r="M29" s="2136"/>
      <c r="N29" s="1511"/>
      <c r="O29" s="2136"/>
      <c r="P29" s="2144"/>
      <c r="Q29" s="1512"/>
      <c r="R29" s="2136"/>
      <c r="S29" s="2136"/>
      <c r="T29" s="1513"/>
      <c r="U29" s="2136"/>
      <c r="V29" s="2144"/>
      <c r="W29" s="1514"/>
      <c r="X29" s="2136"/>
      <c r="Y29" s="2136"/>
      <c r="Z29" s="1511"/>
      <c r="AA29" s="2136"/>
      <c r="AB29" s="2144"/>
      <c r="AC29" s="1515"/>
      <c r="AD29" s="2136"/>
      <c r="AE29" s="2136"/>
      <c r="AF29" s="1440"/>
      <c r="AG29" s="1440"/>
      <c r="AH29" s="1516"/>
      <c r="AI29" s="1223"/>
      <c r="AJ29" s="1501"/>
      <c r="BM29" s="231">
        <v>14</v>
      </c>
    </row>
    <row r="30" spans="4:65" ht="14.65" customHeight="1">
      <c r="D30" s="2192"/>
      <c r="E30" s="2194"/>
      <c r="F30" s="2194"/>
      <c r="G30" s="2177"/>
      <c r="H30" s="1527"/>
      <c r="I30" s="2198"/>
      <c r="J30" s="2145"/>
      <c r="K30" s="1510"/>
      <c r="L30" s="2137"/>
      <c r="M30" s="2137"/>
      <c r="N30" s="1517"/>
      <c r="O30" s="2137"/>
      <c r="P30" s="2145"/>
      <c r="Q30" s="1518"/>
      <c r="R30" s="2137"/>
      <c r="S30" s="2137"/>
      <c r="T30" s="1519"/>
      <c r="U30" s="2137"/>
      <c r="V30" s="2145"/>
      <c r="W30" s="1520"/>
      <c r="X30" s="2137"/>
      <c r="Y30" s="2137"/>
      <c r="Z30" s="1517"/>
      <c r="AA30" s="2137"/>
      <c r="AB30" s="2145"/>
      <c r="AC30" s="1521"/>
      <c r="AD30" s="2137"/>
      <c r="AE30" s="2137"/>
      <c r="AF30" s="1522"/>
      <c r="AG30" s="1522"/>
      <c r="AH30" s="2201"/>
      <c r="AI30" s="2202"/>
      <c r="AJ30" s="1501"/>
      <c r="BM30" s="231">
        <v>14</v>
      </c>
    </row>
    <row r="31" spans="4:65" ht="14.65" customHeight="1">
      <c r="D31" s="2192"/>
      <c r="E31" s="2194"/>
      <c r="F31" s="2194"/>
      <c r="G31" s="2177"/>
      <c r="H31" s="1527"/>
      <c r="I31" s="2198"/>
      <c r="J31" s="2145"/>
      <c r="K31" s="1510"/>
      <c r="L31" s="2137"/>
      <c r="M31" s="2137"/>
      <c r="N31" s="1517"/>
      <c r="O31" s="2137"/>
      <c r="P31" s="2145"/>
      <c r="Q31" s="1518"/>
      <c r="R31" s="2137"/>
      <c r="S31" s="2137"/>
      <c r="T31" s="1519"/>
      <c r="U31" s="2137"/>
      <c r="V31" s="2145"/>
      <c r="W31" s="1520"/>
      <c r="X31" s="2137"/>
      <c r="Y31" s="2137"/>
      <c r="Z31" s="1439"/>
      <c r="AA31" s="1522"/>
      <c r="AB31" s="2201"/>
      <c r="AC31" s="2201"/>
      <c r="AD31" s="2201"/>
      <c r="AE31" s="2201"/>
      <c r="AF31" s="2201"/>
      <c r="AG31" s="2201"/>
      <c r="AH31" s="2201"/>
      <c r="AI31" s="2202"/>
      <c r="AJ31" s="1501"/>
      <c r="BM31" s="231">
        <v>14</v>
      </c>
    </row>
    <row r="32" spans="4:65" ht="14.65" customHeight="1">
      <c r="D32" s="2192"/>
      <c r="E32" s="2194"/>
      <c r="F32" s="2194"/>
      <c r="G32" s="2177"/>
      <c r="H32" s="1527"/>
      <c r="I32" s="2198"/>
      <c r="J32" s="2145"/>
      <c r="K32" s="1510"/>
      <c r="L32" s="2137"/>
      <c r="M32" s="2137"/>
      <c r="N32" s="1517"/>
      <c r="O32" s="2137"/>
      <c r="P32" s="2145"/>
      <c r="Q32" s="1518"/>
      <c r="R32" s="2137"/>
      <c r="S32" s="2137"/>
      <c r="T32" s="1523"/>
      <c r="U32" s="1524"/>
      <c r="V32" s="2201"/>
      <c r="W32" s="2201"/>
      <c r="X32" s="2201"/>
      <c r="Y32" s="2201"/>
      <c r="Z32" s="2201"/>
      <c r="AA32" s="2201"/>
      <c r="AB32" s="2201"/>
      <c r="AC32" s="2201"/>
      <c r="AD32" s="2201"/>
      <c r="AE32" s="2201"/>
      <c r="AF32" s="2201"/>
      <c r="AG32" s="2201"/>
      <c r="AH32" s="2201"/>
      <c r="AI32" s="2202"/>
      <c r="AJ32" s="1501"/>
      <c r="BM32" s="231">
        <v>14</v>
      </c>
    </row>
    <row r="33" spans="4:65" ht="11.45" customHeight="1">
      <c r="D33" s="2192"/>
      <c r="E33" s="2194"/>
      <c r="F33" s="2194"/>
      <c r="G33" s="2177"/>
      <c r="H33" s="1528"/>
      <c r="I33" s="2198"/>
      <c r="J33" s="2145"/>
      <c r="K33" s="1510"/>
      <c r="L33" s="2137"/>
      <c r="M33" s="2137"/>
      <c r="N33" s="1522"/>
      <c r="O33" s="1522"/>
      <c r="P33" s="2201"/>
      <c r="Q33" s="2201"/>
      <c r="R33" s="2201"/>
      <c r="S33" s="2201"/>
      <c r="T33" s="2201"/>
      <c r="U33" s="2201"/>
      <c r="V33" s="2201"/>
      <c r="W33" s="2201"/>
      <c r="X33" s="2201"/>
      <c r="Y33" s="2201"/>
      <c r="Z33" s="2201"/>
      <c r="AA33" s="2201"/>
      <c r="AB33" s="2201"/>
      <c r="AC33" s="2201"/>
      <c r="AD33" s="2201"/>
      <c r="AE33" s="2201"/>
      <c r="AF33" s="2201"/>
      <c r="AG33" s="2201"/>
      <c r="AH33" s="2201"/>
      <c r="AI33" s="2202"/>
      <c r="AJ33" s="1501"/>
      <c r="BM33" s="231">
        <v>11</v>
      </c>
    </row>
    <row r="34" spans="4:65" s="1481" customFormat="1" ht="11.45" customHeight="1">
      <c r="D34" s="2193"/>
      <c r="E34" s="2195"/>
      <c r="F34" s="2196"/>
      <c r="G34" s="2131"/>
      <c r="H34" s="1525"/>
      <c r="I34" s="1529"/>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200"/>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92" t="s">
        <v>112</v>
      </c>
      <c r="E35" s="2194" t="s">
        <v>299</v>
      </c>
      <c r="F35" s="2194" t="s">
        <v>304</v>
      </c>
      <c r="G35" s="2176" t="s">
        <v>19</v>
      </c>
      <c r="H35" s="1526"/>
      <c r="I35" s="2197"/>
      <c r="J35" s="2144"/>
      <c r="K35" s="1441"/>
      <c r="L35" s="2136"/>
      <c r="M35" s="2136"/>
      <c r="N35" s="1511"/>
      <c r="O35" s="2136"/>
      <c r="P35" s="2144"/>
      <c r="Q35" s="1512"/>
      <c r="R35" s="2136"/>
      <c r="S35" s="2136"/>
      <c r="T35" s="1513"/>
      <c r="U35" s="2136"/>
      <c r="V35" s="2144"/>
      <c r="W35" s="1514"/>
      <c r="X35" s="2136"/>
      <c r="Y35" s="2136"/>
      <c r="Z35" s="1511"/>
      <c r="AA35" s="2136"/>
      <c r="AB35" s="2144"/>
      <c r="AC35" s="1515"/>
      <c r="AD35" s="2136"/>
      <c r="AE35" s="2136"/>
      <c r="AF35" s="1440"/>
      <c r="AG35" s="1440"/>
      <c r="AH35" s="1516"/>
      <c r="AI35" s="1223"/>
      <c r="AJ35" s="1501"/>
      <c r="BM35" s="231">
        <v>14</v>
      </c>
    </row>
    <row r="36" spans="4:65" ht="14.65" customHeight="1">
      <c r="D36" s="2192"/>
      <c r="E36" s="2194"/>
      <c r="F36" s="2194"/>
      <c r="G36" s="2177"/>
      <c r="H36" s="1527"/>
      <c r="I36" s="2198"/>
      <c r="J36" s="2145"/>
      <c r="K36" s="1510"/>
      <c r="L36" s="2137"/>
      <c r="M36" s="2137"/>
      <c r="N36" s="1517"/>
      <c r="O36" s="2137"/>
      <c r="P36" s="2145"/>
      <c r="Q36" s="1518"/>
      <c r="R36" s="2137"/>
      <c r="S36" s="2137"/>
      <c r="T36" s="1519"/>
      <c r="U36" s="2137"/>
      <c r="V36" s="2145"/>
      <c r="W36" s="1520"/>
      <c r="X36" s="2137"/>
      <c r="Y36" s="2137"/>
      <c r="Z36" s="1517"/>
      <c r="AA36" s="2137"/>
      <c r="AB36" s="2145"/>
      <c r="AC36" s="1521"/>
      <c r="AD36" s="2137"/>
      <c r="AE36" s="2137"/>
      <c r="AF36" s="1522"/>
      <c r="AG36" s="1522"/>
      <c r="AH36" s="2201"/>
      <c r="AI36" s="2202"/>
      <c r="AJ36" s="1501"/>
      <c r="BM36" s="231">
        <v>14</v>
      </c>
    </row>
    <row r="37" spans="4:65" ht="14.65" customHeight="1">
      <c r="D37" s="2192"/>
      <c r="E37" s="2194"/>
      <c r="F37" s="2194"/>
      <c r="G37" s="2177"/>
      <c r="H37" s="1527"/>
      <c r="I37" s="2198"/>
      <c r="J37" s="2145"/>
      <c r="K37" s="1510"/>
      <c r="L37" s="2137"/>
      <c r="M37" s="2137"/>
      <c r="N37" s="1517"/>
      <c r="O37" s="2137"/>
      <c r="P37" s="2145"/>
      <c r="Q37" s="1518"/>
      <c r="R37" s="2137"/>
      <c r="S37" s="2137"/>
      <c r="T37" s="1519"/>
      <c r="U37" s="2137"/>
      <c r="V37" s="2145"/>
      <c r="W37" s="1520"/>
      <c r="X37" s="2137"/>
      <c r="Y37" s="2137"/>
      <c r="Z37" s="1439"/>
      <c r="AA37" s="1522"/>
      <c r="AB37" s="2201"/>
      <c r="AC37" s="2201"/>
      <c r="AD37" s="2201"/>
      <c r="AE37" s="2201"/>
      <c r="AF37" s="2201"/>
      <c r="AG37" s="2201"/>
      <c r="AH37" s="2201"/>
      <c r="AI37" s="2202"/>
      <c r="AJ37" s="1501"/>
      <c r="BM37" s="231">
        <v>14</v>
      </c>
    </row>
    <row r="38" spans="4:65" ht="14.65" customHeight="1">
      <c r="D38" s="2192"/>
      <c r="E38" s="2194"/>
      <c r="F38" s="2194"/>
      <c r="G38" s="2177"/>
      <c r="H38" s="1527"/>
      <c r="I38" s="2198"/>
      <c r="J38" s="2145"/>
      <c r="K38" s="1510"/>
      <c r="L38" s="2137"/>
      <c r="M38" s="2137"/>
      <c r="N38" s="1517"/>
      <c r="O38" s="2137"/>
      <c r="P38" s="2145"/>
      <c r="Q38" s="1518"/>
      <c r="R38" s="2137"/>
      <c r="S38" s="2137"/>
      <c r="T38" s="1523"/>
      <c r="U38" s="1524"/>
      <c r="V38" s="2201"/>
      <c r="W38" s="2201"/>
      <c r="X38" s="2201"/>
      <c r="Y38" s="2201"/>
      <c r="Z38" s="2201"/>
      <c r="AA38" s="2201"/>
      <c r="AB38" s="2201"/>
      <c r="AC38" s="2201"/>
      <c r="AD38" s="2201"/>
      <c r="AE38" s="2201"/>
      <c r="AF38" s="2201"/>
      <c r="AG38" s="2201"/>
      <c r="AH38" s="2201"/>
      <c r="AI38" s="2202"/>
      <c r="AJ38" s="1501"/>
      <c r="BM38" s="231">
        <v>14</v>
      </c>
    </row>
    <row r="39" spans="4:65" ht="11.45" customHeight="1">
      <c r="D39" s="2192"/>
      <c r="E39" s="2194"/>
      <c r="F39" s="2194"/>
      <c r="G39" s="2177"/>
      <c r="H39" s="1528"/>
      <c r="I39" s="2198"/>
      <c r="J39" s="2145"/>
      <c r="K39" s="1510"/>
      <c r="L39" s="2137"/>
      <c r="M39" s="2137"/>
      <c r="N39" s="1522"/>
      <c r="O39" s="1522"/>
      <c r="P39" s="2201"/>
      <c r="Q39" s="2201"/>
      <c r="R39" s="2201"/>
      <c r="S39" s="2201"/>
      <c r="T39" s="2201"/>
      <c r="U39" s="2201"/>
      <c r="V39" s="2201"/>
      <c r="W39" s="2201"/>
      <c r="X39" s="2201"/>
      <c r="Y39" s="2201"/>
      <c r="Z39" s="2201"/>
      <c r="AA39" s="2201"/>
      <c r="AB39" s="2201"/>
      <c r="AC39" s="2201"/>
      <c r="AD39" s="2201"/>
      <c r="AE39" s="2201"/>
      <c r="AF39" s="2201"/>
      <c r="AG39" s="2201"/>
      <c r="AH39" s="2201"/>
      <c r="AI39" s="2202"/>
      <c r="AJ39" s="1501"/>
      <c r="BM39" s="231">
        <v>11</v>
      </c>
    </row>
    <row r="40" spans="4:65" s="1481" customFormat="1" ht="11.45" customHeight="1">
      <c r="D40" s="2192"/>
      <c r="E40" s="2194"/>
      <c r="F40" s="2203"/>
      <c r="G40" s="2131"/>
      <c r="H40" s="1525"/>
      <c r="I40" s="1529"/>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200"/>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56" t="s">
        <v>1912</v>
      </c>
      <c r="C2" s="2456"/>
      <c r="D2" s="2456"/>
      <c r="E2" s="206"/>
      <c r="F2" s="29">
        <v>22</v>
      </c>
    </row>
    <row r="3" spans="1:6" ht="3" customHeight="1">
      <c r="F3" s="29">
        <v>3</v>
      </c>
    </row>
    <row r="4" spans="1:6" ht="23.25" customHeight="1">
      <c r="B4" s="2017" t="s">
        <v>1913</v>
      </c>
      <c r="C4" s="320" t="s">
        <v>1914</v>
      </c>
      <c r="D4" s="320" t="s">
        <v>1915</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1916</v>
      </c>
    </row>
    <row r="4" spans="1:80" s="202" customFormat="1" ht="15" customHeight="1">
      <c r="C4" s="1742"/>
      <c r="D4" s="53"/>
      <c r="E4" s="314"/>
    </row>
    <row r="6" spans="1:80" s="1741" customFormat="1" ht="17.25" customHeight="1">
      <c r="A6" s="1741" t="s">
        <v>1917</v>
      </c>
    </row>
    <row r="8" spans="1:80" s="202" customFormat="1" ht="17.25" customHeight="1">
      <c r="C8" s="1743"/>
      <c r="D8" s="53"/>
      <c r="E8" s="54"/>
    </row>
    <row r="11" spans="1:80" s="1741" customFormat="1" ht="17.25" customHeight="1">
      <c r="A11" s="1741" t="s">
        <v>1918</v>
      </c>
    </row>
    <row r="13" spans="1:80" s="1745" customFormat="1" ht="15" customHeight="1">
      <c r="A13" s="2229">
        <v>1</v>
      </c>
      <c r="B13" s="1087"/>
      <c r="C13" s="732" t="s">
        <v>451</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29"/>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29"/>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1919</v>
      </c>
    </row>
    <row r="19" spans="1:80" s="1775" customFormat="1" ht="15" customHeight="1">
      <c r="A19" s="1807"/>
      <c r="B19" s="1293">
        <v>1</v>
      </c>
      <c r="C19" s="1293"/>
      <c r="D19" s="731" t="s">
        <v>451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1920</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451</v>
      </c>
      <c r="D23" s="2127" t="s">
        <v>110</v>
      </c>
      <c r="E23" s="2128"/>
      <c r="F23" s="2126" t="s">
        <v>19</v>
      </c>
      <c r="G23" s="2491"/>
      <c r="H23" s="2116">
        <v>1</v>
      </c>
      <c r="I23" s="2493" t="str">
        <f>IF(U23="","",INDEX(TERRITORY_MR_LIST,MATCH(U23,TERRITORY_LIST_ID,0)))</f>
        <v/>
      </c>
      <c r="J23" s="2126"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27"/>
      <c r="E24" s="2129"/>
      <c r="F24" s="2126"/>
      <c r="G24" s="2492"/>
      <c r="H24" s="2116"/>
      <c r="I24" s="2494"/>
      <c r="J24" s="2126"/>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27"/>
      <c r="E25" s="2130"/>
      <c r="F25" s="2126"/>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1921</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95" t="s">
        <v>451</v>
      </c>
      <c r="H29" s="2097">
        <v>1</v>
      </c>
      <c r="I29" s="2496" t="str">
        <f>IF(U29="","",INDEX(TERRITORY_MR_LIST,MATCH(U29,TERRITORY_LIST_ID,0)))</f>
        <v/>
      </c>
      <c r="J29" s="2126"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95"/>
      <c r="H30" s="2097"/>
      <c r="I30" s="2496"/>
      <c r="J30" s="2126"/>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1922</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451</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1923</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1924</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1925</v>
      </c>
    </row>
    <row r="46" spans="1:38" ht="11.25" customHeight="1"/>
    <row r="47" spans="1:38" s="392" customFormat="1" ht="24" customHeight="1">
      <c r="A47" s="2205" t="s">
        <v>319</v>
      </c>
      <c r="B47" s="439"/>
      <c r="C47" s="2216"/>
      <c r="D47" s="382" t="str">
        <f>A47</f>
        <v>5.1</v>
      </c>
      <c r="E47" s="379" t="s">
        <v>320</v>
      </c>
      <c r="F47" s="1898" t="s">
        <v>312</v>
      </c>
      <c r="G47" s="381" t="s">
        <v>321</v>
      </c>
      <c r="H47" s="412"/>
      <c r="I47" s="783"/>
    </row>
    <row r="48" spans="1:38" s="392" customFormat="1" ht="22.5" customHeight="1">
      <c r="A48" s="2205"/>
      <c r="B48" s="439"/>
      <c r="C48" s="2216"/>
      <c r="D48" s="377" t="str">
        <f>D47&amp;".1"</f>
        <v>5.1.1</v>
      </c>
      <c r="E48" s="376" t="s">
        <v>322</v>
      </c>
      <c r="F48" s="1899" t="s">
        <v>28</v>
      </c>
      <c r="G48" s="411"/>
      <c r="H48" s="412"/>
      <c r="I48" s="783"/>
    </row>
    <row r="49" spans="1:45" s="392" customFormat="1" ht="22.5" customHeight="1">
      <c r="A49" s="2205"/>
      <c r="B49" s="439"/>
      <c r="C49" s="2216"/>
      <c r="D49" s="377" t="str">
        <f>D47&amp;".2"</f>
        <v>5.1.2</v>
      </c>
      <c r="E49" s="376" t="s">
        <v>323</v>
      </c>
      <c r="F49" s="1658" t="s">
        <v>28</v>
      </c>
      <c r="G49" s="381" t="s">
        <v>324</v>
      </c>
      <c r="H49" s="412"/>
      <c r="I49" s="783"/>
    </row>
    <row r="50" spans="1:45" s="392" customFormat="1" ht="22.5" customHeight="1">
      <c r="A50" s="2205"/>
      <c r="B50" s="439"/>
      <c r="C50" s="2216"/>
      <c r="D50" s="377" t="str">
        <f>D47&amp;".3"</f>
        <v>5.1.3</v>
      </c>
      <c r="E50" s="376" t="s">
        <v>325</v>
      </c>
      <c r="F50" s="1899" t="s">
        <v>28</v>
      </c>
      <c r="G50" s="411"/>
      <c r="H50" s="412"/>
      <c r="I50" s="783"/>
    </row>
    <row r="51" spans="1:45" s="392" customFormat="1" ht="22.5" customHeight="1">
      <c r="A51" s="2205"/>
      <c r="B51" s="439"/>
      <c r="C51" s="2216"/>
      <c r="D51" s="377" t="str">
        <f>D47&amp;".4"</f>
        <v>5.1.4</v>
      </c>
      <c r="E51" s="376" t="s">
        <v>326</v>
      </c>
      <c r="F51" s="1899" t="s">
        <v>28</v>
      </c>
      <c r="G51" s="381" t="s">
        <v>327</v>
      </c>
      <c r="H51" s="412"/>
      <c r="I51" s="783"/>
    </row>
    <row r="54" spans="1:45" s="1741" customFormat="1" ht="17.25" customHeight="1">
      <c r="A54" s="1741" t="s">
        <v>1926</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1927</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1928</v>
      </c>
    </row>
    <row r="64" spans="1:45" s="1748" customFormat="1" ht="15" customHeight="1">
      <c r="A64" s="83" t="s">
        <v>90</v>
      </c>
      <c r="B64" s="65" t="s">
        <v>28</v>
      </c>
      <c r="C64" s="1751"/>
      <c r="D64" s="68"/>
      <c r="E64" s="318"/>
      <c r="F64" s="318"/>
      <c r="G64" s="1729"/>
      <c r="H64" s="1750"/>
      <c r="I64" s="1730"/>
      <c r="K64" s="210"/>
      <c r="L64" s="211"/>
    </row>
    <row r="66" spans="1:30" s="1741" customFormat="1" ht="11.25" customHeight="1">
      <c r="A66" s="1741" t="s">
        <v>1929</v>
      </c>
    </row>
    <row r="68" spans="1:30" s="1562" customFormat="1" ht="14.25" customHeight="1">
      <c r="A68" s="281"/>
      <c r="B68" s="1087"/>
      <c r="C68" s="313"/>
      <c r="D68" s="1736"/>
      <c r="E68" s="816"/>
      <c r="F68" s="1750"/>
      <c r="G68" s="29"/>
      <c r="I68" s="1551"/>
      <c r="J68" s="1551"/>
    </row>
    <row r="70" spans="1:30" s="1741" customFormat="1" ht="11.25" customHeight="1">
      <c r="A70" s="1741" t="s">
        <v>1930</v>
      </c>
    </row>
    <row r="72" spans="1:30" s="1562" customFormat="1" ht="27" customHeight="1">
      <c r="A72" s="1093"/>
      <c r="B72" s="1093"/>
      <c r="C72" s="1093"/>
      <c r="D72" s="1087"/>
      <c r="E72" s="1752"/>
      <c r="F72" s="2457"/>
      <c r="G72" s="2458"/>
      <c r="H72" s="2459" t="s">
        <v>66</v>
      </c>
      <c r="I72" s="2461"/>
      <c r="J72" s="2463"/>
      <c r="K72" s="2465"/>
      <c r="L72" s="2476"/>
      <c r="M72" s="2476"/>
      <c r="N72" s="2499"/>
      <c r="O72" s="2499"/>
      <c r="P72" s="2500" t="e">
        <f>DATEDIF(DATEVALUE(N72),DATEVALUE(O72),"y")&amp;"г. "&amp;DATEDIF(DATEVALUE(N72),DATEVALUE(O72),"ym")&amp;"мес. "&amp;DATEVALUE(O72)-DATE(YEAR(DATEVALUE(O72)),MONTH(DATEVALUE(O72)),1)&amp;"дн. "</f>
        <v>#VALUE!</v>
      </c>
      <c r="Q72" s="2477"/>
      <c r="R72" s="2477"/>
      <c r="S72" s="2477"/>
      <c r="T72" s="2463"/>
      <c r="U72" s="2477"/>
      <c r="V72" s="2477"/>
      <c r="W72" s="2477"/>
      <c r="X72" s="2463"/>
      <c r="Y72" s="2497" t="s">
        <v>66</v>
      </c>
      <c r="Z72" s="1734"/>
      <c r="AA72" s="1718">
        <v>1</v>
      </c>
      <c r="AB72" s="1169"/>
      <c r="AD72" s="1563" t="s">
        <v>1931</v>
      </c>
    </row>
    <row r="73" spans="1:30" s="1562" customFormat="1" ht="10.5" customHeight="1">
      <c r="A73" s="1093"/>
      <c r="B73" s="1093"/>
      <c r="C73" s="1093"/>
      <c r="D73" s="1087"/>
      <c r="E73" s="877"/>
      <c r="F73" s="2457"/>
      <c r="G73" s="2458"/>
      <c r="H73" s="2460"/>
      <c r="I73" s="2462"/>
      <c r="J73" s="2464"/>
      <c r="K73" s="2465"/>
      <c r="L73" s="2476"/>
      <c r="M73" s="2476"/>
      <c r="N73" s="2499"/>
      <c r="O73" s="2499"/>
      <c r="P73" s="2500"/>
      <c r="Q73" s="2477"/>
      <c r="R73" s="2477"/>
      <c r="S73" s="2477"/>
      <c r="T73" s="2464"/>
      <c r="U73" s="2477"/>
      <c r="V73" s="2477"/>
      <c r="W73" s="2477"/>
      <c r="X73" s="2464"/>
      <c r="Y73" s="2498"/>
      <c r="Z73" s="285"/>
      <c r="AA73" s="509"/>
      <c r="AB73" s="589" t="s">
        <v>1932</v>
      </c>
    </row>
    <row r="75" spans="1:30" s="1741" customFormat="1" ht="11.25" customHeight="1">
      <c r="A75" s="1741" t="s">
        <v>1933</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1931</v>
      </c>
    </row>
    <row r="79" spans="1:30" s="1741" customFormat="1" ht="11.25" customHeight="1">
      <c r="A79" s="1741" t="s">
        <v>1934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03"/>
      <c r="G82" s="2415"/>
      <c r="H82" s="2506" t="s">
        <v>382</v>
      </c>
      <c r="I82" s="2507"/>
      <c r="J82" s="2469"/>
      <c r="K82" s="2469"/>
      <c r="L82" s="2501"/>
      <c r="M82" s="2248"/>
      <c r="N82" s="1958"/>
      <c r="O82" s="1957"/>
      <c r="P82" s="1958"/>
      <c r="Q82" s="1958"/>
      <c r="R82" s="1958"/>
      <c r="S82" s="1958"/>
      <c r="T82" s="1958"/>
      <c r="U82" s="1958"/>
      <c r="V82" s="1958"/>
      <c r="W82" s="1958"/>
      <c r="X82" s="1958"/>
      <c r="Y82" s="1958"/>
      <c r="Z82" s="1958"/>
      <c r="AA82" s="1958"/>
      <c r="AB82" s="1958"/>
      <c r="AC82" s="1958"/>
      <c r="AD82" s="1958"/>
      <c r="AE82" s="1958"/>
      <c r="AF82" s="2505"/>
      <c r="AG82" s="2501"/>
      <c r="AH82" s="2501"/>
      <c r="AI82" s="2505"/>
      <c r="AJ82" s="2501"/>
      <c r="AK82" s="250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03"/>
      <c r="G83" s="2415"/>
      <c r="H83" s="2506"/>
      <c r="I83" s="2507"/>
      <c r="J83" s="2469"/>
      <c r="K83" s="2469"/>
      <c r="L83" s="2501"/>
      <c r="M83" s="2248"/>
      <c r="N83" s="2508"/>
      <c r="O83" s="2509"/>
      <c r="P83" s="2466"/>
      <c r="Q83" s="2469"/>
      <c r="R83" s="2469"/>
      <c r="S83" s="2469"/>
      <c r="T83" s="2469"/>
      <c r="U83" s="2469"/>
      <c r="V83" s="2469"/>
      <c r="W83" s="2469"/>
      <c r="X83" s="2469"/>
      <c r="Y83" s="2469"/>
      <c r="Z83" s="1959"/>
      <c r="AA83" s="1960"/>
      <c r="AB83" s="1960"/>
      <c r="AC83" s="1961"/>
      <c r="AD83" s="1961"/>
      <c r="AE83" s="1962"/>
      <c r="AF83" s="2505"/>
      <c r="AG83" s="2501"/>
      <c r="AH83" s="2501"/>
      <c r="AI83" s="2505"/>
      <c r="AJ83" s="2501"/>
      <c r="AK83" s="250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03"/>
      <c r="G84" s="2415"/>
      <c r="H84" s="2506"/>
      <c r="I84" s="2507"/>
      <c r="J84" s="2469"/>
      <c r="K84" s="2469"/>
      <c r="L84" s="2501"/>
      <c r="M84" s="2248"/>
      <c r="N84" s="2508"/>
      <c r="O84" s="2509"/>
      <c r="P84" s="2467"/>
      <c r="Q84" s="2469"/>
      <c r="R84" s="2469"/>
      <c r="S84" s="2469"/>
      <c r="T84" s="2469"/>
      <c r="U84" s="2469"/>
      <c r="V84" s="2469"/>
      <c r="W84" s="2469"/>
      <c r="X84" s="2469"/>
      <c r="Y84" s="2469"/>
      <c r="Z84" s="1963"/>
      <c r="AA84" s="1964"/>
      <c r="AB84" s="1965"/>
      <c r="AC84" s="1966"/>
      <c r="AD84" s="1965"/>
      <c r="AE84" s="1966"/>
      <c r="AF84" s="2505"/>
      <c r="AG84" s="2501"/>
      <c r="AH84" s="2501"/>
      <c r="AI84" s="2505"/>
      <c r="AJ84" s="2501"/>
      <c r="AK84" s="250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03"/>
      <c r="G85" s="2415"/>
      <c r="H85" s="2506"/>
      <c r="I85" s="2507"/>
      <c r="J85" s="2469"/>
      <c r="K85" s="2469"/>
      <c r="L85" s="2501"/>
      <c r="M85" s="2248"/>
      <c r="N85" s="2508"/>
      <c r="O85" s="2509"/>
      <c r="P85" s="2468"/>
      <c r="Q85" s="2469"/>
      <c r="R85" s="2469"/>
      <c r="S85" s="2469"/>
      <c r="T85" s="2469"/>
      <c r="U85" s="2469"/>
      <c r="V85" s="2469"/>
      <c r="W85" s="2469"/>
      <c r="X85" s="2469"/>
      <c r="Y85" s="2469"/>
      <c r="Z85" s="1959"/>
      <c r="AA85" s="1960"/>
      <c r="AB85" s="1967"/>
      <c r="AC85" s="1961"/>
      <c r="AD85" s="1961"/>
      <c r="AE85" s="1968"/>
      <c r="AF85" s="2505"/>
      <c r="AG85" s="2501"/>
      <c r="AH85" s="2501"/>
      <c r="AI85" s="2505"/>
      <c r="AJ85" s="2501"/>
      <c r="AK85" s="250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03"/>
      <c r="G86" s="2415"/>
      <c r="H86" s="2506"/>
      <c r="I86" s="2507"/>
      <c r="J86" s="2469"/>
      <c r="K86" s="2469"/>
      <c r="L86" s="2501"/>
      <c r="M86" s="2248"/>
      <c r="N86" s="1960"/>
      <c r="O86" s="1960"/>
      <c r="P86" s="1967"/>
      <c r="Q86" s="1960"/>
      <c r="R86" s="1960"/>
      <c r="S86" s="1960"/>
      <c r="T86" s="1960"/>
      <c r="U86" s="1960"/>
      <c r="V86" s="1960"/>
      <c r="W86" s="1960"/>
      <c r="X86" s="1960"/>
      <c r="Y86" s="1960"/>
      <c r="Z86" s="1960"/>
      <c r="AA86" s="1960"/>
      <c r="AB86" s="1960"/>
      <c r="AC86" s="1960"/>
      <c r="AD86" s="1960"/>
      <c r="AE86" s="1969"/>
      <c r="AF86" s="2505"/>
      <c r="AG86" s="2501"/>
      <c r="AH86" s="2501"/>
      <c r="AI86" s="2505"/>
      <c r="AJ86" s="2501"/>
      <c r="AK86" s="250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04"/>
      <c r="G87" s="1117"/>
      <c r="H87" s="1117"/>
      <c r="I87" s="2502" t="s">
        <v>1935</v>
      </c>
      <c r="J87" s="2502"/>
      <c r="K87" s="2502"/>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1936</v>
      </c>
    </row>
    <row r="91" spans="1:58" s="1562" customFormat="1" ht="11.25" customHeight="1">
      <c r="A91" s="1093"/>
      <c r="B91" s="1093"/>
      <c r="C91" s="1093"/>
      <c r="D91" s="1087"/>
      <c r="E91" s="1097"/>
      <c r="F91" s="1754"/>
      <c r="G91" s="1755"/>
      <c r="H91" s="1755"/>
      <c r="I91" s="1690"/>
      <c r="J91" s="1690"/>
      <c r="K91" s="1756"/>
      <c r="L91" s="1690"/>
      <c r="M91" s="1755"/>
      <c r="N91" s="2470"/>
      <c r="O91" s="2471">
        <v>1</v>
      </c>
      <c r="P91" s="2472" t="s">
        <v>19</v>
      </c>
      <c r="Q91" s="2379" t="s">
        <v>28</v>
      </c>
      <c r="R91" s="2379" t="s">
        <v>28</v>
      </c>
      <c r="S91" s="2379" t="s">
        <v>28</v>
      </c>
      <c r="T91" s="2379" t="s">
        <v>28</v>
      </c>
      <c r="U91" s="2379" t="s">
        <v>28</v>
      </c>
      <c r="V91" s="2379" t="s">
        <v>28</v>
      </c>
      <c r="W91" s="2379" t="s">
        <v>28</v>
      </c>
      <c r="X91" s="2379" t="s">
        <v>28</v>
      </c>
      <c r="Y91" s="2379"/>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70"/>
      <c r="O92" s="2471"/>
      <c r="P92" s="2473"/>
      <c r="Q92" s="2379"/>
      <c r="R92" s="2379"/>
      <c r="S92" s="2475"/>
      <c r="T92" s="2379"/>
      <c r="U92" s="2379"/>
      <c r="V92" s="2379"/>
      <c r="W92" s="2379"/>
      <c r="X92" s="2379"/>
      <c r="Y92" s="2379"/>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70"/>
      <c r="O93" s="2471"/>
      <c r="P93" s="2474"/>
      <c r="Q93" s="2379"/>
      <c r="R93" s="2379"/>
      <c r="S93" s="2475"/>
      <c r="T93" s="2379"/>
      <c r="U93" s="2379"/>
      <c r="V93" s="2379"/>
      <c r="W93" s="2379"/>
      <c r="X93" s="2379"/>
      <c r="Y93" s="2379"/>
      <c r="Z93" s="1102"/>
      <c r="AA93" s="1103"/>
      <c r="AB93" s="1168" t="s">
        <v>1937</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1938</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1939</v>
      </c>
    </row>
    <row r="101" spans="1:184" s="1562" customFormat="1" ht="11.25" customHeight="1">
      <c r="A101" s="1093"/>
      <c r="B101" s="1093"/>
      <c r="C101" s="1093"/>
      <c r="D101" s="1087"/>
      <c r="E101" s="1097"/>
      <c r="F101" s="1754"/>
      <c r="G101" s="1755"/>
      <c r="H101" s="2415" t="s">
        <v>110</v>
      </c>
      <c r="I101" s="2522"/>
      <c r="J101" s="2450"/>
      <c r="K101" s="2520"/>
      <c r="L101" s="2126" t="s">
        <v>19</v>
      </c>
      <c r="M101" s="2127"/>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523"/>
      <c r="AG101" s="2524"/>
      <c r="AH101" s="2524"/>
      <c r="AI101" s="2523"/>
      <c r="AJ101" s="2524"/>
      <c r="AK101" s="252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15"/>
      <c r="I102" s="2522"/>
      <c r="J102" s="2450"/>
      <c r="K102" s="2520"/>
      <c r="L102" s="2126"/>
      <c r="M102" s="2127"/>
      <c r="N102" s="2470"/>
      <c r="O102" s="2525">
        <v>1</v>
      </c>
      <c r="P102" s="2472" t="s">
        <v>19</v>
      </c>
      <c r="Q102" s="2379" t="s">
        <v>28</v>
      </c>
      <c r="R102" s="2379" t="s">
        <v>28</v>
      </c>
      <c r="S102" s="2379" t="s">
        <v>28</v>
      </c>
      <c r="T102" s="2379" t="s">
        <v>28</v>
      </c>
      <c r="U102" s="2379" t="s">
        <v>28</v>
      </c>
      <c r="V102" s="2379" t="s">
        <v>28</v>
      </c>
      <c r="W102" s="2379" t="s">
        <v>28</v>
      </c>
      <c r="X102" s="2379" t="s">
        <v>28</v>
      </c>
      <c r="Y102" s="2379"/>
      <c r="Z102" s="1102"/>
      <c r="AA102" s="1103"/>
      <c r="AB102" s="1103"/>
      <c r="AC102" s="1107"/>
      <c r="AD102" s="1107"/>
      <c r="AE102" s="1108"/>
      <c r="AF102" s="2523"/>
      <c r="AG102" s="2524"/>
      <c r="AH102" s="2524"/>
      <c r="AI102" s="2523"/>
      <c r="AJ102" s="2524"/>
      <c r="AK102" s="252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15"/>
      <c r="I103" s="2522"/>
      <c r="J103" s="2450"/>
      <c r="K103" s="2520"/>
      <c r="L103" s="2126"/>
      <c r="M103" s="2127"/>
      <c r="N103" s="2470"/>
      <c r="O103" s="2525"/>
      <c r="P103" s="2473"/>
      <c r="Q103" s="2379"/>
      <c r="R103" s="2379"/>
      <c r="S103" s="2475"/>
      <c r="T103" s="2379"/>
      <c r="U103" s="2379"/>
      <c r="V103" s="2379"/>
      <c r="W103" s="2379"/>
      <c r="X103" s="2379"/>
      <c r="Y103" s="2379"/>
      <c r="Z103" s="1753"/>
      <c r="AA103" s="1720">
        <v>1</v>
      </c>
      <c r="AB103" s="1106"/>
      <c r="AC103" s="1096"/>
      <c r="AD103" s="1106">
        <f>AB103</f>
        <v>0</v>
      </c>
      <c r="AE103" s="1096"/>
      <c r="AF103" s="2523"/>
      <c r="AG103" s="2524"/>
      <c r="AH103" s="2524"/>
      <c r="AI103" s="2523"/>
      <c r="AJ103" s="2524"/>
      <c r="AK103" s="252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15"/>
      <c r="I104" s="2522"/>
      <c r="J104" s="2450"/>
      <c r="K104" s="2520"/>
      <c r="L104" s="2126"/>
      <c r="M104" s="2127"/>
      <c r="N104" s="2470"/>
      <c r="O104" s="2525"/>
      <c r="P104" s="2474"/>
      <c r="Q104" s="2379"/>
      <c r="R104" s="2379"/>
      <c r="S104" s="2475"/>
      <c r="T104" s="2379"/>
      <c r="U104" s="2379"/>
      <c r="V104" s="2379"/>
      <c r="W104" s="2379"/>
      <c r="X104" s="2379"/>
      <c r="Y104" s="2379"/>
      <c r="Z104" s="1102"/>
      <c r="AA104" s="1103"/>
      <c r="AB104" s="1168" t="s">
        <v>1937</v>
      </c>
      <c r="AC104" s="1107"/>
      <c r="AD104" s="1107"/>
      <c r="AE104" s="1109"/>
      <c r="AF104" s="2523"/>
      <c r="AG104" s="2524"/>
      <c r="AH104" s="2524"/>
      <c r="AI104" s="2523"/>
      <c r="AJ104" s="2524"/>
      <c r="AK104" s="252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15"/>
      <c r="I105" s="2522"/>
      <c r="J105" s="2450"/>
      <c r="K105" s="2520"/>
      <c r="L105" s="2126"/>
      <c r="M105" s="2127"/>
      <c r="N105" s="1102"/>
      <c r="O105" s="1103"/>
      <c r="P105" s="1095" t="s">
        <v>1940</v>
      </c>
      <c r="Q105" s="1103"/>
      <c r="R105" s="1103"/>
      <c r="S105" s="1103"/>
      <c r="T105" s="1103"/>
      <c r="U105" s="1103"/>
      <c r="V105" s="1103"/>
      <c r="W105" s="1103"/>
      <c r="X105" s="1103"/>
      <c r="Y105" s="1103"/>
      <c r="Z105" s="1103"/>
      <c r="AA105" s="1103"/>
      <c r="AB105" s="1103"/>
      <c r="AC105" s="1103"/>
      <c r="AD105" s="1103"/>
      <c r="AE105" s="1110"/>
      <c r="AF105" s="2523"/>
      <c r="AG105" s="2524"/>
      <c r="AH105" s="2524"/>
      <c r="AI105" s="2523"/>
      <c r="AJ105" s="2524"/>
      <c r="AK105" s="252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1941</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1943</v>
      </c>
    </row>
    <row r="115" spans="1:83" s="1775" customFormat="1" ht="15" customHeight="1">
      <c r="A115" s="560"/>
      <c r="B115" s="561"/>
      <c r="C115" s="561"/>
      <c r="D115" s="2479" t="s">
        <v>110</v>
      </c>
      <c r="E115" s="2360" t="s">
        <v>106</v>
      </c>
      <c r="F115" s="2361"/>
      <c r="G115" s="2362"/>
      <c r="H115" s="2356" t="str">
        <f>IF(A115="","",INDEX(DIFFERENTIATION_UNMERGE_VD,MATCH(A115,DIFFERENTIATION_ID_DIFF,0)))</f>
        <v/>
      </c>
      <c r="I115" s="2356"/>
      <c r="J115" s="2356"/>
      <c r="K115" s="2356"/>
      <c r="L115" s="2356"/>
      <c r="M115" s="2356"/>
      <c r="N115" s="2356"/>
      <c r="O115" s="2356"/>
      <c r="P115" s="2356"/>
      <c r="Q115" s="2356"/>
      <c r="R115" s="2356"/>
      <c r="S115" s="656"/>
      <c r="T115" s="653"/>
      <c r="U115" s="562"/>
      <c r="V115" s="562"/>
      <c r="W115" s="563"/>
      <c r="X115" s="563"/>
      <c r="Y115" s="563"/>
      <c r="Z115" s="563"/>
      <c r="AA115" s="564"/>
      <c r="AB115" s="565"/>
      <c r="AC115" s="2359"/>
      <c r="AD115" s="566"/>
      <c r="AE115" s="567" t="s">
        <v>28</v>
      </c>
      <c r="AF115" s="567"/>
      <c r="AG115" s="568" t="s">
        <v>622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80"/>
      <c r="E116" s="2360" t="s">
        <v>577</v>
      </c>
      <c r="F116" s="2361"/>
      <c r="G116" s="2362"/>
      <c r="H116" s="2356" t="str">
        <f>IF(A115="","",INDEX(DIFFERENTIATION_UNMERGE_AREA,MATCH(A115,DIFFERENTIATION_ID_DIFF,0)))</f>
        <v/>
      </c>
      <c r="I116" s="2356"/>
      <c r="J116" s="2356"/>
      <c r="K116" s="2356"/>
      <c r="L116" s="2356"/>
      <c r="M116" s="2356"/>
      <c r="N116" s="2356"/>
      <c r="O116" s="2356"/>
      <c r="P116" s="2356"/>
      <c r="Q116" s="2356"/>
      <c r="R116" s="2356"/>
      <c r="S116" s="656"/>
      <c r="T116" s="653"/>
      <c r="U116" s="562"/>
      <c r="V116" s="562"/>
      <c r="W116" s="563"/>
      <c r="X116" s="563"/>
      <c r="Y116" s="563"/>
      <c r="Z116" s="563"/>
      <c r="AA116" s="564"/>
      <c r="AB116" s="565"/>
      <c r="AC116" s="235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80"/>
      <c r="E117" s="2360" t="s">
        <v>578</v>
      </c>
      <c r="F117" s="2361"/>
      <c r="G117" s="2362"/>
      <c r="H117" s="2356" t="str">
        <f>IF(A115="","",INDEX(DIFFERENTIATION_UNMERGE_SYSTEM,MATCH(A115,DIFFERENTIATION_ID_DIFF,0)))</f>
        <v/>
      </c>
      <c r="I117" s="2356"/>
      <c r="J117" s="2356"/>
      <c r="K117" s="2356"/>
      <c r="L117" s="2356"/>
      <c r="M117" s="2356"/>
      <c r="N117" s="2356"/>
      <c r="O117" s="2356"/>
      <c r="P117" s="2356"/>
      <c r="Q117" s="2356"/>
      <c r="R117" s="2356"/>
      <c r="S117" s="656"/>
      <c r="T117" s="653"/>
      <c r="U117" s="562"/>
      <c r="V117" s="562"/>
      <c r="W117" s="563"/>
      <c r="X117" s="563"/>
      <c r="Y117" s="563"/>
      <c r="Z117" s="563"/>
      <c r="AA117" s="564"/>
      <c r="AB117" s="565"/>
      <c r="AC117" s="235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80"/>
      <c r="E118" s="2358" t="s">
        <v>623</v>
      </c>
      <c r="F118" s="2358"/>
      <c r="G118" s="2358"/>
      <c r="H118" s="2358"/>
      <c r="I118" s="2358"/>
      <c r="J118" s="2358"/>
      <c r="K118" s="2358"/>
      <c r="L118" s="2358"/>
      <c r="M118" s="2358"/>
      <c r="N118" s="2358"/>
      <c r="O118" s="2358"/>
      <c r="P118" s="2358"/>
      <c r="Q118" s="495">
        <f>SUMIF(T119:T120,"i",Q119:Q120)</f>
        <v>0</v>
      </c>
      <c r="R118" s="947"/>
      <c r="S118" s="1724" t="s">
        <v>624</v>
      </c>
      <c r="T118" s="654" t="s">
        <v>625</v>
      </c>
      <c r="U118" s="2255">
        <v>1</v>
      </c>
      <c r="V118" s="2255" t="s">
        <v>588</v>
      </c>
      <c r="W118" s="1087"/>
      <c r="X118" s="1087"/>
      <c r="Y118" s="1087"/>
      <c r="Z118" s="1087"/>
      <c r="AA118" s="1563"/>
      <c r="AB118" s="1087"/>
      <c r="AC118" s="235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80"/>
      <c r="E119" s="572"/>
      <c r="F119" s="572">
        <v>0</v>
      </c>
      <c r="G119" s="572"/>
      <c r="H119" s="572"/>
      <c r="I119" s="572"/>
      <c r="J119" s="572"/>
      <c r="K119" s="572"/>
      <c r="L119" s="572"/>
      <c r="M119" s="572"/>
      <c r="N119" s="572"/>
      <c r="O119" s="572"/>
      <c r="P119" s="572"/>
      <c r="Q119" s="572"/>
      <c r="R119" s="572"/>
      <c r="S119" s="573"/>
      <c r="T119" s="655"/>
      <c r="U119" s="2255"/>
      <c r="V119" s="2255"/>
      <c r="W119" s="1563"/>
      <c r="X119" s="1563"/>
      <c r="Y119" s="1563"/>
      <c r="Z119" s="1563"/>
      <c r="AA119" s="1563"/>
      <c r="AB119" s="1087"/>
      <c r="AC119" s="235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80"/>
      <c r="E120" s="586" t="s">
        <v>28</v>
      </c>
      <c r="F120" s="1095" t="s">
        <v>28</v>
      </c>
      <c r="G120" s="1095" t="s">
        <v>1944</v>
      </c>
      <c r="H120" s="588" t="s">
        <v>28</v>
      </c>
      <c r="I120" s="588"/>
      <c r="J120" s="588"/>
      <c r="K120" s="588"/>
      <c r="L120" s="588"/>
      <c r="M120" s="588"/>
      <c r="N120" s="588"/>
      <c r="O120" s="588"/>
      <c r="P120" s="588"/>
      <c r="Q120" s="588"/>
      <c r="R120" s="589"/>
      <c r="S120" s="590"/>
      <c r="T120" s="655"/>
      <c r="U120" s="2255"/>
      <c r="V120" s="2255"/>
      <c r="W120" s="1087"/>
      <c r="X120" s="1087"/>
      <c r="Y120" s="1087"/>
      <c r="Z120" s="1087"/>
      <c r="AA120" s="1563"/>
      <c r="AB120" s="1087"/>
      <c r="AC120" s="235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80"/>
      <c r="E121" s="2358" t="s">
        <v>626</v>
      </c>
      <c r="F121" s="2358"/>
      <c r="G121" s="2358"/>
      <c r="H121" s="2358"/>
      <c r="I121" s="2358"/>
      <c r="J121" s="2358"/>
      <c r="K121" s="2358"/>
      <c r="L121" s="2358"/>
      <c r="M121" s="2358"/>
      <c r="N121" s="2358"/>
      <c r="O121" s="2358"/>
      <c r="P121" s="2358"/>
      <c r="Q121" s="495">
        <f>SUMIF(T122:T123,"i",Q122:Q123)</f>
        <v>0</v>
      </c>
      <c r="R121" s="947"/>
      <c r="S121" s="1724" t="s">
        <v>627</v>
      </c>
      <c r="T121" s="654" t="s">
        <v>625</v>
      </c>
      <c r="U121" s="2255">
        <v>1</v>
      </c>
      <c r="V121" s="2255" t="s">
        <v>588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80"/>
      <c r="E122" s="572"/>
      <c r="F122" s="572">
        <v>0</v>
      </c>
      <c r="G122" s="572"/>
      <c r="H122" s="572"/>
      <c r="I122" s="572"/>
      <c r="J122" s="572"/>
      <c r="K122" s="572"/>
      <c r="L122" s="572"/>
      <c r="M122" s="572"/>
      <c r="N122" s="572"/>
      <c r="O122" s="572"/>
      <c r="P122" s="572"/>
      <c r="Q122" s="572"/>
      <c r="R122" s="572"/>
      <c r="S122" s="573"/>
      <c r="T122" s="655"/>
      <c r="U122" s="2255"/>
      <c r="V122" s="2255"/>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81"/>
      <c r="E123" s="586" t="s">
        <v>28</v>
      </c>
      <c r="F123" s="1095" t="s">
        <v>28</v>
      </c>
      <c r="G123" s="1095" t="s">
        <v>1944</v>
      </c>
      <c r="H123" s="588" t="s">
        <v>28</v>
      </c>
      <c r="I123" s="588"/>
      <c r="J123" s="588"/>
      <c r="K123" s="588"/>
      <c r="L123" s="588"/>
      <c r="M123" s="588"/>
      <c r="N123" s="588"/>
      <c r="O123" s="588"/>
      <c r="P123" s="588"/>
      <c r="Q123" s="588"/>
      <c r="R123" s="589"/>
      <c r="S123" s="590"/>
      <c r="T123" s="655"/>
      <c r="U123" s="2255"/>
      <c r="V123" s="2255"/>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1945</v>
      </c>
    </row>
    <row r="127" spans="1:83" s="1775" customFormat="1" ht="15" customHeight="1">
      <c r="A127" s="560"/>
      <c r="B127" s="561"/>
      <c r="C127" s="561"/>
      <c r="D127" s="2479" t="s">
        <v>110</v>
      </c>
      <c r="E127" s="2360" t="s">
        <v>106</v>
      </c>
      <c r="F127" s="2361"/>
      <c r="G127" s="2362"/>
      <c r="H127" s="2356" t="str">
        <f>IF(A127="","",INDEX(DIFFERENTIATION_UNMERGE_VD,MATCH(A127,DIFFERENTIATION_ID_DIFF,0)))</f>
        <v/>
      </c>
      <c r="I127" s="2356"/>
      <c r="J127" s="2356"/>
      <c r="K127" s="2356"/>
      <c r="L127" s="2356"/>
      <c r="M127" s="2356"/>
      <c r="N127" s="2356"/>
      <c r="O127" s="2356"/>
      <c r="P127" s="2356"/>
      <c r="Q127" s="2356"/>
      <c r="R127" s="2356"/>
      <c r="S127" s="656"/>
      <c r="T127" s="653"/>
      <c r="U127" s="562"/>
      <c r="V127" s="562"/>
      <c r="W127" s="563"/>
      <c r="X127" s="563"/>
      <c r="Y127" s="563"/>
      <c r="Z127" s="563"/>
      <c r="AA127" s="564"/>
      <c r="AB127" s="565"/>
      <c r="AC127" s="2359"/>
      <c r="AD127" s="566"/>
      <c r="AE127" s="567" t="s">
        <v>28</v>
      </c>
      <c r="AF127" s="567"/>
      <c r="AG127" s="568" t="s">
        <v>622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80"/>
      <c r="E128" s="2360" t="s">
        <v>577</v>
      </c>
      <c r="F128" s="2361"/>
      <c r="G128" s="2362"/>
      <c r="H128" s="2356" t="str">
        <f>IF(A127="","",INDEX(DIFFERENTIATION_UNMERGE_AREA,MATCH(A127,DIFFERENTIATION_ID_DIFF,0)))</f>
        <v/>
      </c>
      <c r="I128" s="2356"/>
      <c r="J128" s="2356"/>
      <c r="K128" s="2356"/>
      <c r="L128" s="2356"/>
      <c r="M128" s="2356"/>
      <c r="N128" s="2356"/>
      <c r="O128" s="2356"/>
      <c r="P128" s="2356"/>
      <c r="Q128" s="2356"/>
      <c r="R128" s="2356"/>
      <c r="S128" s="656"/>
      <c r="T128" s="653"/>
      <c r="U128" s="562"/>
      <c r="V128" s="562"/>
      <c r="W128" s="563"/>
      <c r="X128" s="563"/>
      <c r="Y128" s="563"/>
      <c r="Z128" s="563"/>
      <c r="AA128" s="564"/>
      <c r="AB128" s="565"/>
      <c r="AC128" s="235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80"/>
      <c r="E129" s="2360" t="s">
        <v>578</v>
      </c>
      <c r="F129" s="2361"/>
      <c r="G129" s="2362"/>
      <c r="H129" s="2356" t="str">
        <f>IF(A127="","",INDEX(DIFFERENTIATION_UNMERGE_SYSTEM,MATCH(A127,DIFFERENTIATION_ID_DIFF,0)))</f>
        <v/>
      </c>
      <c r="I129" s="2356"/>
      <c r="J129" s="2356"/>
      <c r="K129" s="2356"/>
      <c r="L129" s="2356"/>
      <c r="M129" s="2356"/>
      <c r="N129" s="2356"/>
      <c r="O129" s="2356"/>
      <c r="P129" s="2356"/>
      <c r="Q129" s="2356"/>
      <c r="R129" s="2356"/>
      <c r="S129" s="656"/>
      <c r="T129" s="653"/>
      <c r="U129" s="562"/>
      <c r="V129" s="562"/>
      <c r="W129" s="563"/>
      <c r="X129" s="563"/>
      <c r="Y129" s="563"/>
      <c r="Z129" s="563"/>
      <c r="AA129" s="564"/>
      <c r="AB129" s="565"/>
      <c r="AC129" s="235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80"/>
      <c r="E130" s="2358" t="s">
        <v>623</v>
      </c>
      <c r="F130" s="2358"/>
      <c r="G130" s="2358"/>
      <c r="H130" s="2358"/>
      <c r="I130" s="2358"/>
      <c r="J130" s="2358"/>
      <c r="K130" s="2358"/>
      <c r="L130" s="2358"/>
      <c r="M130" s="2358"/>
      <c r="N130" s="2358"/>
      <c r="O130" s="2358"/>
      <c r="P130" s="2358"/>
      <c r="Q130" s="495">
        <f>SUMIF(T131:T132,"i",Q131:Q132)</f>
        <v>0</v>
      </c>
      <c r="R130" s="947"/>
      <c r="S130" s="1724" t="s">
        <v>624</v>
      </c>
      <c r="T130" s="654" t="s">
        <v>625</v>
      </c>
      <c r="U130" s="2255">
        <v>1</v>
      </c>
      <c r="V130" s="2255" t="s">
        <v>588</v>
      </c>
      <c r="W130" s="1087"/>
      <c r="X130" s="1087"/>
      <c r="Y130" s="1087"/>
      <c r="Z130" s="1087"/>
      <c r="AA130" s="1563"/>
      <c r="AB130" s="1087"/>
      <c r="AC130" s="235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80"/>
      <c r="E131" s="572"/>
      <c r="F131" s="572">
        <v>0</v>
      </c>
      <c r="G131" s="572"/>
      <c r="H131" s="572"/>
      <c r="I131" s="572"/>
      <c r="J131" s="572"/>
      <c r="K131" s="572"/>
      <c r="L131" s="572"/>
      <c r="M131" s="572"/>
      <c r="N131" s="572"/>
      <c r="O131" s="572"/>
      <c r="P131" s="572"/>
      <c r="Q131" s="572"/>
      <c r="R131" s="572"/>
      <c r="S131" s="573"/>
      <c r="T131" s="655"/>
      <c r="U131" s="2255"/>
      <c r="V131" s="2255"/>
      <c r="W131" s="1563"/>
      <c r="X131" s="1563"/>
      <c r="Y131" s="1563"/>
      <c r="Z131" s="1563"/>
      <c r="AA131" s="1563"/>
      <c r="AB131" s="1087"/>
      <c r="AC131" s="235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80"/>
      <c r="E132" s="586" t="s">
        <v>28</v>
      </c>
      <c r="F132" s="1095" t="s">
        <v>28</v>
      </c>
      <c r="G132" s="1095" t="s">
        <v>1944</v>
      </c>
      <c r="H132" s="588" t="s">
        <v>28</v>
      </c>
      <c r="I132" s="588"/>
      <c r="J132" s="588"/>
      <c r="K132" s="588"/>
      <c r="L132" s="588"/>
      <c r="M132" s="588"/>
      <c r="N132" s="588"/>
      <c r="O132" s="588"/>
      <c r="P132" s="588"/>
      <c r="Q132" s="588"/>
      <c r="R132" s="589"/>
      <c r="S132" s="590"/>
      <c r="T132" s="655"/>
      <c r="U132" s="2255"/>
      <c r="V132" s="2255"/>
      <c r="W132" s="1087"/>
      <c r="X132" s="1087"/>
      <c r="Y132" s="1087"/>
      <c r="Z132" s="1087"/>
      <c r="AA132" s="1563"/>
      <c r="AB132" s="1087"/>
      <c r="AC132" s="235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80"/>
      <c r="E133" s="969"/>
      <c r="F133" s="969"/>
      <c r="G133" s="969"/>
      <c r="H133" s="969"/>
      <c r="I133" s="969"/>
      <c r="J133" s="969"/>
      <c r="K133" s="969"/>
      <c r="L133" s="969"/>
      <c r="M133" s="969"/>
      <c r="N133" s="969"/>
      <c r="O133" s="969"/>
      <c r="P133" s="969"/>
      <c r="Q133" s="970"/>
      <c r="R133" s="971"/>
      <c r="S133" s="972"/>
      <c r="T133" s="654" t="s">
        <v>625</v>
      </c>
      <c r="U133" s="2255">
        <v>1</v>
      </c>
      <c r="V133" s="2255" t="s">
        <v>588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80"/>
      <c r="E134" s="572"/>
      <c r="F134" s="572"/>
      <c r="G134" s="572"/>
      <c r="H134" s="572"/>
      <c r="I134" s="572"/>
      <c r="J134" s="572"/>
      <c r="K134" s="572"/>
      <c r="L134" s="572"/>
      <c r="M134" s="572"/>
      <c r="N134" s="572"/>
      <c r="O134" s="572"/>
      <c r="P134" s="572"/>
      <c r="Q134" s="572"/>
      <c r="R134" s="572"/>
      <c r="S134" s="573"/>
      <c r="T134" s="655"/>
      <c r="U134" s="2255"/>
      <c r="V134" s="225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81"/>
      <c r="E135" s="973"/>
      <c r="F135" s="974"/>
      <c r="G135" s="974"/>
      <c r="H135" s="975"/>
      <c r="I135" s="975"/>
      <c r="J135" s="975"/>
      <c r="K135" s="975"/>
      <c r="L135" s="975"/>
      <c r="M135" s="975"/>
      <c r="N135" s="975"/>
      <c r="O135" s="975"/>
      <c r="P135" s="975"/>
      <c r="Q135" s="975"/>
      <c r="R135" s="876"/>
      <c r="S135" s="976"/>
      <c r="T135" s="655"/>
      <c r="U135" s="2255"/>
      <c r="V135" s="225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1946</v>
      </c>
    </row>
    <row r="139" spans="1:83" s="1775" customFormat="1" ht="45" customHeight="1">
      <c r="A139" s="1732"/>
      <c r="B139" s="1087"/>
      <c r="C139" s="349"/>
      <c r="D139" s="29"/>
      <c r="E139" s="2484"/>
      <c r="F139" s="2127" t="s">
        <v>110</v>
      </c>
      <c r="G139" s="2487" t="s">
        <v>28</v>
      </c>
      <c r="H139" s="227"/>
      <c r="I139" s="574" t="s">
        <v>110</v>
      </c>
      <c r="J139" s="1733" t="s">
        <v>1947</v>
      </c>
      <c r="K139" s="575" t="s">
        <v>559</v>
      </c>
      <c r="L139" s="2218" t="s">
        <v>559</v>
      </c>
      <c r="M139" s="2175"/>
      <c r="N139" s="575" t="s">
        <v>559</v>
      </c>
      <c r="O139" s="575" t="s">
        <v>559</v>
      </c>
      <c r="P139" s="575" t="s">
        <v>559</v>
      </c>
      <c r="Q139" s="576">
        <f>SUM(Q140:Q142)</f>
        <v>0</v>
      </c>
      <c r="R139" s="576">
        <f>IF(R136=0,0,(Q136/R136)*100)</f>
        <v>0</v>
      </c>
      <c r="S139" s="2194"/>
      <c r="T139" s="654" t="s">
        <v>625</v>
      </c>
      <c r="U139" s="29"/>
      <c r="V139" s="29"/>
      <c r="AC139" s="29"/>
    </row>
    <row r="140" spans="1:83" s="1775" customFormat="1" ht="11.25" customHeight="1">
      <c r="A140" s="1732"/>
      <c r="B140" s="1087"/>
      <c r="C140" s="349"/>
      <c r="D140" s="29"/>
      <c r="E140" s="2485"/>
      <c r="F140" s="2127"/>
      <c r="G140" s="2487"/>
      <c r="H140" s="2116"/>
      <c r="I140" s="2415" t="s">
        <v>1034</v>
      </c>
      <c r="J140" s="2482"/>
      <c r="K140" s="2483"/>
      <c r="L140" s="577"/>
      <c r="M140" s="578" t="s">
        <v>110</v>
      </c>
      <c r="N140" s="1721"/>
      <c r="O140" s="579"/>
      <c r="P140" s="580"/>
      <c r="Q140" s="579"/>
      <c r="R140" s="581">
        <v>0</v>
      </c>
      <c r="S140" s="2194"/>
      <c r="T140" s="654"/>
      <c r="U140" s="29"/>
      <c r="V140" s="29"/>
      <c r="AC140" s="29"/>
    </row>
    <row r="141" spans="1:83" s="1775" customFormat="1" ht="11.25" customHeight="1">
      <c r="A141" s="1732"/>
      <c r="B141" s="1087"/>
      <c r="C141" s="349"/>
      <c r="D141" s="29"/>
      <c r="E141" s="2485"/>
      <c r="F141" s="2127"/>
      <c r="G141" s="2487"/>
      <c r="H141" s="2116"/>
      <c r="I141" s="2415"/>
      <c r="J141" s="2482"/>
      <c r="K141" s="2478"/>
      <c r="L141" s="582"/>
      <c r="M141" s="583"/>
      <c r="N141" s="584" t="s">
        <v>1948</v>
      </c>
      <c r="O141" s="584"/>
      <c r="P141" s="584"/>
      <c r="Q141" s="584"/>
      <c r="R141" s="585"/>
      <c r="S141" s="2194"/>
      <c r="T141" s="654"/>
      <c r="U141" s="29"/>
      <c r="V141" s="29"/>
      <c r="AC141" s="29"/>
    </row>
    <row r="142" spans="1:83" s="1775" customFormat="1" ht="11.25" customHeight="1">
      <c r="A142" s="1732"/>
      <c r="B142" s="1087"/>
      <c r="C142" s="349"/>
      <c r="D142" s="29"/>
      <c r="E142" s="2486"/>
      <c r="F142" s="2127"/>
      <c r="G142" s="2488"/>
      <c r="H142" s="582" t="s">
        <v>28</v>
      </c>
      <c r="I142" s="583"/>
      <c r="J142" s="584" t="s">
        <v>1949</v>
      </c>
      <c r="K142" s="584"/>
      <c r="L142" s="584"/>
      <c r="M142" s="584"/>
      <c r="N142" s="584"/>
      <c r="O142" s="584"/>
      <c r="P142" s="584"/>
      <c r="Q142" s="584"/>
      <c r="R142" s="585"/>
      <c r="S142" s="2194"/>
      <c r="T142" s="654"/>
      <c r="U142" s="29"/>
      <c r="V142" s="29"/>
      <c r="AC142" s="29"/>
    </row>
    <row r="147" spans="1:43" s="1775" customFormat="1" ht="11.25" customHeight="1">
      <c r="A147" s="1732"/>
      <c r="B147" s="1087"/>
      <c r="C147" s="349"/>
      <c r="D147" s="29"/>
      <c r="E147" s="1755"/>
      <c r="F147" s="1755"/>
      <c r="G147" s="1755"/>
      <c r="H147" s="2116"/>
      <c r="I147" s="2415" t="s">
        <v>1034</v>
      </c>
      <c r="J147" s="2482"/>
      <c r="K147" s="2483"/>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16"/>
      <c r="I148" s="2415"/>
      <c r="J148" s="2482"/>
      <c r="K148" s="2478"/>
      <c r="L148" s="582"/>
      <c r="M148" s="583"/>
      <c r="N148" s="584" t="s">
        <v>1948</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1950</v>
      </c>
    </row>
    <row r="153" spans="1:43" ht="17.25" customHeight="1">
      <c r="G153" s="1764"/>
      <c r="H153" s="1764"/>
      <c r="I153" s="1764"/>
      <c r="M153" s="1760"/>
    </row>
    <row r="154" spans="1:43" s="1778" customFormat="1" ht="17.25" customHeight="1">
      <c r="A154" s="1765"/>
      <c r="C154" s="1767"/>
      <c r="D154" s="2182"/>
      <c r="E154" s="2138"/>
      <c r="F154" s="2151"/>
      <c r="G154" s="2163"/>
      <c r="H154" s="2182"/>
      <c r="I154" s="2182">
        <v>1</v>
      </c>
      <c r="J154" s="2180"/>
      <c r="K154" s="2176" t="s">
        <v>66</v>
      </c>
      <c r="L154" s="2127"/>
      <c r="M154" s="2127" t="s">
        <v>110</v>
      </c>
      <c r="N154" s="2489" t="str">
        <f>IF(Z154="","",INDEX(TERRITORY_MR_LIST,MATCH(Z154,TERRITORY_LIST_ID,0)))</f>
        <v/>
      </c>
      <c r="O154" s="2176" t="s">
        <v>66</v>
      </c>
      <c r="P154" s="2127"/>
      <c r="Q154" s="2127" t="s">
        <v>110</v>
      </c>
      <c r="R154" s="2478" t="s">
        <v>28</v>
      </c>
      <c r="S154" s="2126" t="s">
        <v>66</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82"/>
      <c r="E155" s="2138"/>
      <c r="F155" s="2152"/>
      <c r="G155" s="2163"/>
      <c r="H155" s="2182"/>
      <c r="I155" s="2182"/>
      <c r="J155" s="2180"/>
      <c r="K155" s="2177"/>
      <c r="L155" s="2127"/>
      <c r="M155" s="2127"/>
      <c r="N155" s="2489"/>
      <c r="O155" s="2177"/>
      <c r="P155" s="2127"/>
      <c r="Q155" s="2127"/>
      <c r="R155" s="2478"/>
      <c r="S155" s="2126"/>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50"/>
      <c r="E156" s="2139"/>
      <c r="F156" s="2152"/>
      <c r="G156" s="2164"/>
      <c r="H156" s="2150"/>
      <c r="I156" s="2150"/>
      <c r="J156" s="2181"/>
      <c r="K156" s="2177"/>
      <c r="L156" s="2150"/>
      <c r="M156" s="2150"/>
      <c r="N156" s="2490"/>
      <c r="O156" s="2131"/>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50"/>
      <c r="E157" s="2139"/>
      <c r="F157" s="2152"/>
      <c r="G157" s="2164"/>
      <c r="H157" s="2150"/>
      <c r="I157" s="2150"/>
      <c r="J157" s="2181"/>
      <c r="K157" s="2131"/>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50"/>
      <c r="E158" s="2139"/>
      <c r="F158" s="2153"/>
      <c r="G158" s="2164"/>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82"/>
      <c r="I160" s="2182">
        <v>1</v>
      </c>
      <c r="J160" s="2180"/>
      <c r="K160" s="2176" t="s">
        <v>66</v>
      </c>
      <c r="L160" s="2127"/>
      <c r="M160" s="2127" t="s">
        <v>110</v>
      </c>
      <c r="N160" s="2489" t="str">
        <f>IF(Z160="","",INDEX(TERRITORY_MR_LIST,MATCH(Z160,TERRITORY_LIST_ID,0)))</f>
        <v/>
      </c>
      <c r="O160" s="2176" t="s">
        <v>66</v>
      </c>
      <c r="P160" s="2127"/>
      <c r="Q160" s="2127" t="s">
        <v>110</v>
      </c>
      <c r="R160" s="2478" t="s">
        <v>28</v>
      </c>
      <c r="S160" s="2126" t="s">
        <v>66</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82"/>
      <c r="I161" s="2182"/>
      <c r="J161" s="2180"/>
      <c r="K161" s="2177"/>
      <c r="L161" s="2127"/>
      <c r="M161" s="2127"/>
      <c r="N161" s="2489"/>
      <c r="O161" s="2177"/>
      <c r="P161" s="2127"/>
      <c r="Q161" s="2127"/>
      <c r="R161" s="2478"/>
      <c r="S161" s="2126"/>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50"/>
      <c r="I162" s="2150"/>
      <c r="J162" s="2181"/>
      <c r="K162" s="2177"/>
      <c r="L162" s="2150"/>
      <c r="M162" s="2150"/>
      <c r="N162" s="2490"/>
      <c r="O162" s="2131"/>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50"/>
      <c r="I163" s="2150"/>
      <c r="J163" s="2181"/>
      <c r="K163" s="2131"/>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27"/>
      <c r="M165" s="2127" t="s">
        <v>110</v>
      </c>
      <c r="N165" s="2489" t="str">
        <f>IF(Z165="","",INDEX(TERRITORY_MR_LIST,MATCH(Z165,TERRITORY_LIST_ID,0)))</f>
        <v/>
      </c>
      <c r="O165" s="2176" t="s">
        <v>66</v>
      </c>
      <c r="P165" s="2127"/>
      <c r="Q165" s="2127" t="s">
        <v>110</v>
      </c>
      <c r="R165" s="2478" t="s">
        <v>28</v>
      </c>
      <c r="S165" s="2126" t="s">
        <v>66</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27"/>
      <c r="M166" s="2127"/>
      <c r="N166" s="2489"/>
      <c r="O166" s="2177"/>
      <c r="P166" s="2127"/>
      <c r="Q166" s="2127"/>
      <c r="R166" s="2478"/>
      <c r="S166" s="2126"/>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50"/>
      <c r="M167" s="2150"/>
      <c r="N167" s="2490"/>
      <c r="O167" s="2131"/>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27"/>
      <c r="Q169" s="2127" t="s">
        <v>110</v>
      </c>
      <c r="R169" s="2478" t="s">
        <v>28</v>
      </c>
      <c r="S169" s="2126" t="s">
        <v>66</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27"/>
      <c r="Q170" s="2127"/>
      <c r="R170" s="2478"/>
      <c r="S170" s="2126"/>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1951</v>
      </c>
    </row>
    <row r="175" spans="1:43" ht="17.25" customHeight="1">
      <c r="G175" s="1764"/>
      <c r="H175" s="1764"/>
      <c r="I175" s="1764"/>
      <c r="M175" s="1760"/>
    </row>
    <row r="176" spans="1:43" s="1778" customFormat="1" ht="17.25" customHeight="1">
      <c r="A176" s="1765"/>
      <c r="C176" s="1767"/>
      <c r="D176" s="2182"/>
      <c r="E176" s="2138"/>
      <c r="F176" s="2151"/>
      <c r="G176" s="2163"/>
      <c r="H176" s="2182"/>
      <c r="I176" s="2182">
        <v>1</v>
      </c>
      <c r="J176" s="2180"/>
      <c r="K176" s="2176" t="s">
        <v>66</v>
      </c>
      <c r="L176" s="2127"/>
      <c r="M176" s="2127" t="s">
        <v>110</v>
      </c>
      <c r="N176" s="2489" t="str">
        <f>IF(Z176="","",INDEX(TERRITORY_MR_LIST,MATCH(Z176,TERRITORY_LIST_ID,0)))</f>
        <v/>
      </c>
      <c r="O176" s="2176" t="s">
        <v>66</v>
      </c>
      <c r="P176" s="2127"/>
      <c r="Q176" s="2127" t="s">
        <v>110</v>
      </c>
      <c r="R176" s="2478" t="s">
        <v>28</v>
      </c>
      <c r="S176" s="2378" t="s">
        <v>19</v>
      </c>
      <c r="T176" s="1728"/>
      <c r="U176" s="1728" t="s">
        <v>110</v>
      </c>
      <c r="V176" s="1361"/>
      <c r="W176" s="2180"/>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82"/>
      <c r="E177" s="2138"/>
      <c r="F177" s="2152"/>
      <c r="G177" s="2163"/>
      <c r="H177" s="2182"/>
      <c r="I177" s="2182"/>
      <c r="J177" s="2180"/>
      <c r="K177" s="2177"/>
      <c r="L177" s="2127"/>
      <c r="M177" s="2127"/>
      <c r="N177" s="2489"/>
      <c r="O177" s="2177"/>
      <c r="P177" s="2127"/>
      <c r="Q177" s="2127"/>
      <c r="R177" s="2478"/>
      <c r="S177" s="2378"/>
      <c r="T177" s="1362"/>
      <c r="U177" s="1363"/>
      <c r="V177" s="1363"/>
      <c r="W177" s="2180"/>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50"/>
      <c r="E178" s="2139"/>
      <c r="F178" s="2152"/>
      <c r="G178" s="2164"/>
      <c r="H178" s="2150"/>
      <c r="I178" s="2150"/>
      <c r="J178" s="2181"/>
      <c r="K178" s="2177"/>
      <c r="L178" s="2150"/>
      <c r="M178" s="2150"/>
      <c r="N178" s="2490"/>
      <c r="O178" s="2131"/>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50"/>
      <c r="E179" s="2139"/>
      <c r="F179" s="2152"/>
      <c r="G179" s="2164"/>
      <c r="H179" s="2150"/>
      <c r="I179" s="2150"/>
      <c r="J179" s="2181"/>
      <c r="K179" s="2131"/>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50"/>
      <c r="E180" s="2139"/>
      <c r="F180" s="2153"/>
      <c r="G180" s="2164"/>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82"/>
      <c r="I182" s="2182">
        <v>1</v>
      </c>
      <c r="J182" s="2180"/>
      <c r="K182" s="2176" t="s">
        <v>66</v>
      </c>
      <c r="L182" s="2127"/>
      <c r="M182" s="2127" t="s">
        <v>110</v>
      </c>
      <c r="N182" s="2489" t="str">
        <f>IF(Z182="","",INDEX(TERRITORY_MR_LIST,MATCH(Z182,TERRITORY_LIST_ID,0)))</f>
        <v/>
      </c>
      <c r="O182" s="2176" t="s">
        <v>66</v>
      </c>
      <c r="P182" s="2127"/>
      <c r="Q182" s="2127" t="s">
        <v>110</v>
      </c>
      <c r="R182" s="2478" t="s">
        <v>28</v>
      </c>
      <c r="S182" s="2378" t="s">
        <v>19</v>
      </c>
      <c r="T182" s="1728"/>
      <c r="U182" s="1728" t="s">
        <v>110</v>
      </c>
      <c r="V182" s="1361"/>
      <c r="W182" s="2180"/>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82"/>
      <c r="I183" s="2182"/>
      <c r="J183" s="2180"/>
      <c r="K183" s="2177"/>
      <c r="L183" s="2127"/>
      <c r="M183" s="2127"/>
      <c r="N183" s="2489"/>
      <c r="O183" s="2177"/>
      <c r="P183" s="2127"/>
      <c r="Q183" s="2127"/>
      <c r="R183" s="2478"/>
      <c r="S183" s="2378"/>
      <c r="T183" s="1362"/>
      <c r="U183" s="1363"/>
      <c r="V183" s="1363"/>
      <c r="W183" s="2180"/>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50"/>
      <c r="I184" s="2150"/>
      <c r="J184" s="2181"/>
      <c r="K184" s="2177"/>
      <c r="L184" s="2150"/>
      <c r="M184" s="2150"/>
      <c r="N184" s="2490"/>
      <c r="O184" s="2131"/>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50"/>
      <c r="I185" s="2150"/>
      <c r="J185" s="2181"/>
      <c r="K185" s="2131"/>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27"/>
      <c r="M187" s="2127" t="s">
        <v>110</v>
      </c>
      <c r="N187" s="2489" t="str">
        <f>IF(Z187="","",INDEX(TERRITORY_MR_LIST,MATCH(Z187,TERRITORY_LIST_ID,0)))</f>
        <v/>
      </c>
      <c r="O187" s="2176" t="s">
        <v>66</v>
      </c>
      <c r="P187" s="2127"/>
      <c r="Q187" s="2127" t="s">
        <v>110</v>
      </c>
      <c r="R187" s="2478" t="s">
        <v>28</v>
      </c>
      <c r="S187" s="2378" t="s">
        <v>19</v>
      </c>
      <c r="T187" s="1728"/>
      <c r="U187" s="1728" t="s">
        <v>110</v>
      </c>
      <c r="V187" s="1361"/>
      <c r="W187" s="2180"/>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27"/>
      <c r="M188" s="2127"/>
      <c r="N188" s="2489"/>
      <c r="O188" s="2177"/>
      <c r="P188" s="2127"/>
      <c r="Q188" s="2127"/>
      <c r="R188" s="2478"/>
      <c r="S188" s="2378"/>
      <c r="T188" s="1362"/>
      <c r="U188" s="1363"/>
      <c r="V188" s="1363"/>
      <c r="W188" s="2180"/>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50"/>
      <c r="M189" s="2150"/>
      <c r="N189" s="2490"/>
      <c r="O189" s="2131"/>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27"/>
      <c r="Q191" s="2127" t="s">
        <v>110</v>
      </c>
      <c r="R191" s="2478" t="s">
        <v>28</v>
      </c>
      <c r="S191" s="2378" t="s">
        <v>19</v>
      </c>
      <c r="T191" s="1728"/>
      <c r="U191" s="1728" t="s">
        <v>110</v>
      </c>
      <c r="V191" s="1361"/>
      <c r="W191" s="2180"/>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27"/>
      <c r="Q192" s="2127"/>
      <c r="R192" s="2478"/>
      <c r="S192" s="2378"/>
      <c r="T192" s="1362"/>
      <c r="U192" s="1363"/>
      <c r="V192" s="1363"/>
      <c r="W192" s="218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82"/>
      <c r="E194" s="2194"/>
      <c r="F194" s="2194"/>
      <c r="G194" s="2116"/>
      <c r="H194" s="2140"/>
      <c r="I194" s="2142"/>
      <c r="J194" s="2144"/>
      <c r="K194" s="2136"/>
      <c r="L194" s="2136"/>
      <c r="M194" s="2136"/>
      <c r="N194" s="2147"/>
      <c r="O194" s="2136"/>
      <c r="P194" s="2136"/>
      <c r="Q194" s="2136"/>
      <c r="R194" s="2134"/>
      <c r="S194" s="2136"/>
      <c r="T194" s="1709"/>
      <c r="U194" s="1709"/>
      <c r="V194" s="1777"/>
      <c r="W194" s="1223"/>
    </row>
    <row r="195" spans="1:63" ht="16.5" customHeight="1">
      <c r="A195" s="1765"/>
      <c r="B195" s="1766"/>
      <c r="C195" s="1770"/>
      <c r="D195" s="2182"/>
      <c r="E195" s="2194"/>
      <c r="F195" s="2194"/>
      <c r="G195" s="2116"/>
      <c r="H195" s="2141"/>
      <c r="I195" s="2143"/>
      <c r="J195" s="2145"/>
      <c r="K195" s="2137"/>
      <c r="L195" s="2137"/>
      <c r="M195" s="2137"/>
      <c r="N195" s="2148"/>
      <c r="O195" s="2137"/>
      <c r="P195" s="2137"/>
      <c r="Q195" s="2137"/>
      <c r="R195" s="2135"/>
      <c r="S195" s="2137"/>
      <c r="T195" s="1224"/>
      <c r="U195" s="1224"/>
      <c r="V195" s="1224"/>
      <c r="W195" s="1225"/>
    </row>
    <row r="196" spans="1:63" ht="17.25" customHeight="1">
      <c r="A196" s="1765"/>
      <c r="B196" s="1766"/>
      <c r="C196" s="1770"/>
      <c r="D196" s="2182"/>
      <c r="E196" s="2194"/>
      <c r="F196" s="2194"/>
      <c r="G196" s="2116"/>
      <c r="H196" s="2141"/>
      <c r="I196" s="2143"/>
      <c r="J196" s="2146"/>
      <c r="K196" s="2137"/>
      <c r="L196" s="2137"/>
      <c r="M196" s="2137"/>
      <c r="N196" s="2135"/>
      <c r="O196" s="2137"/>
      <c r="P196" s="1712"/>
      <c r="Q196" s="1224"/>
      <c r="R196" s="1224"/>
      <c r="S196" s="1778"/>
      <c r="T196" s="1778"/>
      <c r="U196" s="1778"/>
      <c r="V196" s="1778"/>
      <c r="W196" s="1225"/>
    </row>
    <row r="197" spans="1:63" ht="17.25" customHeight="1">
      <c r="A197" s="1765"/>
      <c r="B197" s="1766"/>
      <c r="C197" s="1770"/>
      <c r="D197" s="2182"/>
      <c r="E197" s="2194"/>
      <c r="F197" s="2194"/>
      <c r="G197" s="2116"/>
      <c r="H197" s="2141"/>
      <c r="I197" s="2143"/>
      <c r="J197" s="2146"/>
      <c r="K197" s="2137"/>
      <c r="L197" s="1224"/>
      <c r="M197" s="1224"/>
      <c r="N197" s="1224"/>
      <c r="O197" s="1224"/>
      <c r="P197" s="1224"/>
      <c r="Q197" s="1224"/>
      <c r="R197" s="1224"/>
      <c r="S197" s="1778"/>
      <c r="T197" s="1778"/>
      <c r="U197" s="1778"/>
      <c r="V197" s="1778"/>
      <c r="W197" s="1225"/>
    </row>
    <row r="198" spans="1:63" ht="17.25" customHeight="1">
      <c r="A198" s="1765"/>
      <c r="B198" s="1766"/>
      <c r="C198" s="1770"/>
      <c r="D198" s="2182"/>
      <c r="E198" s="2194"/>
      <c r="F198" s="2194"/>
      <c r="G198" s="2116"/>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1952</v>
      </c>
    </row>
    <row r="201" spans="1:63" ht="17.25" customHeight="1">
      <c r="G201" s="1764"/>
      <c r="H201" s="1764"/>
      <c r="I201" s="1764"/>
      <c r="M201" s="1760"/>
    </row>
    <row r="202" spans="1:63" s="1775" customFormat="1" ht="15" customHeight="1">
      <c r="D202" s="2513"/>
      <c r="E202" s="2189"/>
      <c r="F202" s="2189"/>
      <c r="G202" s="2176"/>
      <c r="H202" s="1491"/>
      <c r="I202" s="2514">
        <v>1</v>
      </c>
      <c r="J202" s="2180"/>
      <c r="K202" s="1506"/>
      <c r="L202" s="2176" t="s">
        <v>66</v>
      </c>
      <c r="M202" s="2176" t="s">
        <v>66</v>
      </c>
      <c r="N202" s="1491"/>
      <c r="O202" s="2127" t="s">
        <v>110</v>
      </c>
      <c r="P202" s="2520"/>
      <c r="Q202" s="1507"/>
      <c r="R202" s="2176" t="s">
        <v>66</v>
      </c>
      <c r="S202" s="2176" t="s">
        <v>66</v>
      </c>
      <c r="T202" s="1780"/>
      <c r="U202" s="2127" t="s">
        <v>110</v>
      </c>
      <c r="V202" s="2510" t="str">
        <f>IF(AK202="","",INDEX(TERRITORY_MR_LIST,MATCH(AK202,TERRITORY_LIST_ID,0)))</f>
        <v/>
      </c>
      <c r="W202" s="1508"/>
      <c r="X202" s="2176" t="s">
        <v>66</v>
      </c>
      <c r="Y202" s="2176" t="s">
        <v>19</v>
      </c>
      <c r="Z202" s="1491"/>
      <c r="AA202" s="2127" t="s">
        <v>110</v>
      </c>
      <c r="AB202" s="2512"/>
      <c r="AC202" s="1509"/>
      <c r="AD202" s="2176" t="s">
        <v>66</v>
      </c>
      <c r="AE202" s="2176" t="s">
        <v>19</v>
      </c>
      <c r="AF202" s="1489"/>
      <c r="AG202" s="1737" t="s">
        <v>110</v>
      </c>
      <c r="AH202" s="1499"/>
      <c r="AI202" s="1727"/>
    </row>
    <row r="203" spans="1:63" s="1775" customFormat="1" ht="15" customHeight="1">
      <c r="D203" s="2513"/>
      <c r="E203" s="2189"/>
      <c r="F203" s="2189"/>
      <c r="G203" s="2177"/>
      <c r="H203" s="1491"/>
      <c r="I203" s="2514"/>
      <c r="J203" s="2180"/>
      <c r="K203" s="1490"/>
      <c r="L203" s="2177"/>
      <c r="M203" s="2177"/>
      <c r="N203" s="1491"/>
      <c r="O203" s="2127"/>
      <c r="P203" s="2520"/>
      <c r="Q203" s="1487"/>
      <c r="R203" s="2177"/>
      <c r="S203" s="2177"/>
      <c r="T203" s="1780"/>
      <c r="U203" s="2127"/>
      <c r="V203" s="2511"/>
      <c r="W203" s="1488"/>
      <c r="X203" s="2177"/>
      <c r="Y203" s="2177"/>
      <c r="Z203" s="1491"/>
      <c r="AA203" s="2127"/>
      <c r="AB203" s="2447"/>
      <c r="AC203" s="1492"/>
      <c r="AD203" s="2131"/>
      <c r="AE203" s="2131"/>
      <c r="AF203" s="1493"/>
      <c r="AG203" s="1494"/>
      <c r="AH203" s="2516" t="s">
        <v>1953</v>
      </c>
      <c r="AI203" s="2517"/>
    </row>
    <row r="204" spans="1:63" s="1775" customFormat="1" ht="15" customHeight="1">
      <c r="D204" s="2513"/>
      <c r="E204" s="2189"/>
      <c r="F204" s="2189"/>
      <c r="G204" s="2177"/>
      <c r="H204" s="1491"/>
      <c r="I204" s="2514"/>
      <c r="J204" s="2180"/>
      <c r="K204" s="1490"/>
      <c r="L204" s="2177"/>
      <c r="M204" s="2177"/>
      <c r="N204" s="1491"/>
      <c r="O204" s="2127"/>
      <c r="P204" s="2520"/>
      <c r="Q204" s="1487"/>
      <c r="R204" s="2177"/>
      <c r="S204" s="2177"/>
      <c r="T204" s="1780"/>
      <c r="U204" s="2127"/>
      <c r="V204" s="2511"/>
      <c r="W204" s="1488"/>
      <c r="X204" s="2177"/>
      <c r="Y204" s="2177"/>
      <c r="Z204" s="1530"/>
      <c r="AA204" s="1496"/>
      <c r="AB204" s="2518" t="s">
        <v>1954</v>
      </c>
      <c r="AC204" s="2518"/>
      <c r="AD204" s="2518"/>
      <c r="AE204" s="2518"/>
      <c r="AF204" s="2518"/>
      <c r="AG204" s="2518"/>
      <c r="AH204" s="2518"/>
      <c r="AI204" s="2519"/>
    </row>
    <row r="205" spans="1:63" s="1775" customFormat="1" ht="15" customHeight="1">
      <c r="D205" s="2513"/>
      <c r="E205" s="2189"/>
      <c r="F205" s="2189"/>
      <c r="G205" s="2177"/>
      <c r="H205" s="1491"/>
      <c r="I205" s="2514"/>
      <c r="J205" s="2180"/>
      <c r="K205" s="1490"/>
      <c r="L205" s="2177"/>
      <c r="M205" s="2177"/>
      <c r="N205" s="1491"/>
      <c r="O205" s="2127"/>
      <c r="P205" s="2521"/>
      <c r="Q205" s="1487"/>
      <c r="R205" s="2177"/>
      <c r="S205" s="2177"/>
      <c r="T205" s="1781"/>
      <c r="U205" s="1531"/>
      <c r="V205" s="2516" t="s">
        <v>104</v>
      </c>
      <c r="W205" s="2516"/>
      <c r="X205" s="2516"/>
      <c r="Y205" s="2516"/>
      <c r="Z205" s="2516"/>
      <c r="AA205" s="2516"/>
      <c r="AB205" s="2516"/>
      <c r="AC205" s="2516"/>
      <c r="AD205" s="2516"/>
      <c r="AE205" s="2516"/>
      <c r="AF205" s="2516"/>
      <c r="AG205" s="2516"/>
      <c r="AH205" s="2516"/>
      <c r="AI205" s="2517"/>
    </row>
    <row r="206" spans="1:63" s="1775" customFormat="1" ht="11.25" customHeight="1">
      <c r="D206" s="2513"/>
      <c r="E206" s="2189"/>
      <c r="F206" s="2189"/>
      <c r="G206" s="2177"/>
      <c r="H206" s="1495"/>
      <c r="I206" s="2514"/>
      <c r="J206" s="2515"/>
      <c r="K206" s="1490"/>
      <c r="L206" s="2177"/>
      <c r="M206" s="2177"/>
      <c r="N206" s="1495"/>
      <c r="O206" s="1496"/>
      <c r="P206" s="2516" t="s">
        <v>1955</v>
      </c>
      <c r="Q206" s="2516"/>
      <c r="R206" s="2516"/>
      <c r="S206" s="2516"/>
      <c r="T206" s="2516"/>
      <c r="U206" s="2516"/>
      <c r="V206" s="2516"/>
      <c r="W206" s="2516"/>
      <c r="X206" s="2516"/>
      <c r="Y206" s="2516"/>
      <c r="Z206" s="2516"/>
      <c r="AA206" s="2516"/>
      <c r="AB206" s="2516"/>
      <c r="AC206" s="2516"/>
      <c r="AD206" s="2516"/>
      <c r="AE206" s="2516"/>
      <c r="AF206" s="2516"/>
      <c r="AG206" s="2516"/>
      <c r="AH206" s="2516"/>
      <c r="AI206" s="2517"/>
    </row>
    <row r="207" spans="1:63" s="1481" customFormat="1" ht="11.25" customHeight="1">
      <c r="D207" s="2513"/>
      <c r="E207" s="2189"/>
      <c r="F207" s="2189"/>
      <c r="G207" s="2131"/>
      <c r="H207" s="1497"/>
      <c r="I207" s="1498"/>
      <c r="J207" s="2516" t="s">
        <v>172</v>
      </c>
      <c r="K207" s="2516"/>
      <c r="L207" s="2516"/>
      <c r="M207" s="2516"/>
      <c r="N207" s="2516"/>
      <c r="O207" s="2516"/>
      <c r="P207" s="2516"/>
      <c r="Q207" s="2516"/>
      <c r="R207" s="2516"/>
      <c r="S207" s="2516"/>
      <c r="T207" s="2516"/>
      <c r="U207" s="2516"/>
      <c r="V207" s="2516"/>
      <c r="W207" s="2516"/>
      <c r="X207" s="2516"/>
      <c r="Y207" s="2516"/>
      <c r="Z207" s="2516"/>
      <c r="AA207" s="2516"/>
      <c r="AB207" s="2516"/>
      <c r="AC207" s="2516"/>
      <c r="AD207" s="2516"/>
      <c r="AE207" s="2516"/>
      <c r="AF207" s="2516"/>
      <c r="AG207" s="2516"/>
      <c r="AH207" s="2516"/>
      <c r="AI207" s="2517"/>
      <c r="BK207" s="1501"/>
    </row>
    <row r="208" spans="1:63" ht="17.25" customHeight="1">
      <c r="G208" s="1764"/>
      <c r="I208" s="1764"/>
      <c r="J208" s="1764"/>
      <c r="N208" s="1760"/>
    </row>
    <row r="209" spans="4:63" s="1775" customFormat="1" ht="15" customHeight="1">
      <c r="D209" s="2513"/>
      <c r="E209" s="2189"/>
      <c r="F209" s="2189"/>
      <c r="G209" s="2194"/>
      <c r="H209" s="1526"/>
      <c r="I209" s="2197"/>
      <c r="J209" s="2144"/>
      <c r="K209" s="1711"/>
      <c r="L209" s="2136"/>
      <c r="M209" s="2136"/>
      <c r="N209" s="1511"/>
      <c r="O209" s="2136"/>
      <c r="P209" s="2144"/>
      <c r="Q209" s="1715"/>
      <c r="R209" s="2136"/>
      <c r="S209" s="2136"/>
      <c r="T209" s="1782"/>
      <c r="U209" s="2136"/>
      <c r="V209" s="2144"/>
      <c r="W209" s="1514"/>
      <c r="X209" s="2136"/>
      <c r="Y209" s="2136"/>
      <c r="Z209" s="1511"/>
      <c r="AA209" s="2136"/>
      <c r="AB209" s="2144"/>
      <c r="AC209" s="1515"/>
      <c r="AD209" s="2136"/>
      <c r="AE209" s="2136"/>
      <c r="AF209" s="1709"/>
      <c r="AG209" s="1709"/>
      <c r="AH209" s="1516"/>
      <c r="AI209" s="1223"/>
    </row>
    <row r="210" spans="4:63" s="1775" customFormat="1" ht="15" customHeight="1">
      <c r="D210" s="2513"/>
      <c r="E210" s="2189"/>
      <c r="F210" s="2189"/>
      <c r="G210" s="2194"/>
      <c r="H210" s="1527"/>
      <c r="I210" s="2198"/>
      <c r="J210" s="2145"/>
      <c r="K210" s="1537"/>
      <c r="L210" s="2137"/>
      <c r="M210" s="2137"/>
      <c r="N210" s="1517"/>
      <c r="O210" s="2137"/>
      <c r="P210" s="2145"/>
      <c r="Q210" s="1716"/>
      <c r="R210" s="2137"/>
      <c r="S210" s="2137"/>
      <c r="T210" s="1783"/>
      <c r="U210" s="2137"/>
      <c r="V210" s="2145"/>
      <c r="W210" s="1520"/>
      <c r="X210" s="2137"/>
      <c r="Y210" s="2137"/>
      <c r="Z210" s="1517"/>
      <c r="AA210" s="2137"/>
      <c r="AB210" s="2145"/>
      <c r="AC210" s="1521"/>
      <c r="AD210" s="2137"/>
      <c r="AE210" s="2137"/>
      <c r="AF210" s="1714"/>
      <c r="AG210" s="1714"/>
      <c r="AH210" s="2201"/>
      <c r="AI210" s="2202"/>
    </row>
    <row r="211" spans="4:63" s="1775" customFormat="1" ht="15" customHeight="1">
      <c r="D211" s="2513"/>
      <c r="E211" s="2189"/>
      <c r="F211" s="2189"/>
      <c r="G211" s="2194"/>
      <c r="H211" s="1527"/>
      <c r="I211" s="2198"/>
      <c r="J211" s="2145"/>
      <c r="K211" s="1537"/>
      <c r="L211" s="2137"/>
      <c r="M211" s="2137"/>
      <c r="N211" s="1517"/>
      <c r="O211" s="2137"/>
      <c r="P211" s="2145"/>
      <c r="Q211" s="1716"/>
      <c r="R211" s="2137"/>
      <c r="S211" s="2137"/>
      <c r="T211" s="1783"/>
      <c r="U211" s="2137"/>
      <c r="V211" s="2145"/>
      <c r="W211" s="1520"/>
      <c r="X211" s="2137"/>
      <c r="Y211" s="2137"/>
      <c r="Z211" s="1712"/>
      <c r="AA211" s="1714"/>
      <c r="AB211" s="2201"/>
      <c r="AC211" s="2201"/>
      <c r="AD211" s="2201"/>
      <c r="AE211" s="2201"/>
      <c r="AF211" s="2201"/>
      <c r="AG211" s="2201"/>
      <c r="AH211" s="2201"/>
      <c r="AI211" s="2202"/>
    </row>
    <row r="212" spans="4:63" s="1775" customFormat="1" ht="15" customHeight="1">
      <c r="D212" s="2513"/>
      <c r="E212" s="2189"/>
      <c r="F212" s="2189"/>
      <c r="G212" s="2194"/>
      <c r="H212" s="1527"/>
      <c r="I212" s="2198"/>
      <c r="J212" s="2145"/>
      <c r="K212" s="1537"/>
      <c r="L212" s="2137"/>
      <c r="M212" s="2137"/>
      <c r="N212" s="1517"/>
      <c r="O212" s="2137"/>
      <c r="P212" s="2145"/>
      <c r="Q212" s="1716"/>
      <c r="R212" s="2137"/>
      <c r="S212" s="2137"/>
      <c r="T212" s="1784"/>
      <c r="U212" s="1524"/>
      <c r="V212" s="2201"/>
      <c r="W212" s="2201"/>
      <c r="X212" s="2201"/>
      <c r="Y212" s="2201"/>
      <c r="Z212" s="2201"/>
      <c r="AA212" s="2201"/>
      <c r="AB212" s="2201"/>
      <c r="AC212" s="2201"/>
      <c r="AD212" s="2201"/>
      <c r="AE212" s="2201"/>
      <c r="AF212" s="2201"/>
      <c r="AG212" s="2201"/>
      <c r="AH212" s="2201"/>
      <c r="AI212" s="2202"/>
    </row>
    <row r="213" spans="4:63" s="1775" customFormat="1" ht="11.25" customHeight="1">
      <c r="D213" s="2513"/>
      <c r="E213" s="2189"/>
      <c r="F213" s="2189"/>
      <c r="G213" s="2194"/>
      <c r="H213" s="1528"/>
      <c r="I213" s="2198"/>
      <c r="J213" s="2145"/>
      <c r="K213" s="1537"/>
      <c r="L213" s="2137"/>
      <c r="M213" s="2137"/>
      <c r="N213" s="1714"/>
      <c r="O213" s="1714"/>
      <c r="P213" s="2201"/>
      <c r="Q213" s="2201"/>
      <c r="R213" s="2201"/>
      <c r="S213" s="2201"/>
      <c r="T213" s="2201"/>
      <c r="U213" s="2201"/>
      <c r="V213" s="2201"/>
      <c r="W213" s="2201"/>
      <c r="X213" s="2201"/>
      <c r="Y213" s="2201"/>
      <c r="Z213" s="2201"/>
      <c r="AA213" s="2201"/>
      <c r="AB213" s="2201"/>
      <c r="AC213" s="2201"/>
      <c r="AD213" s="2201"/>
      <c r="AE213" s="2201"/>
      <c r="AF213" s="2201"/>
      <c r="AG213" s="2201"/>
      <c r="AH213" s="2201"/>
      <c r="AI213" s="2202"/>
    </row>
    <row r="214" spans="4:63" s="1481" customFormat="1" ht="11.25" customHeight="1">
      <c r="D214" s="2513"/>
      <c r="E214" s="2189"/>
      <c r="F214" s="2189"/>
      <c r="G214" s="2203"/>
      <c r="H214" s="1525"/>
      <c r="I214" s="1529"/>
      <c r="J214" s="2199"/>
      <c r="K214" s="2199"/>
      <c r="L214" s="2199"/>
      <c r="M214" s="2199"/>
      <c r="N214" s="2199"/>
      <c r="O214" s="2199"/>
      <c r="P214" s="2199"/>
      <c r="Q214" s="2199"/>
      <c r="R214" s="2199"/>
      <c r="S214" s="2199"/>
      <c r="T214" s="2199"/>
      <c r="U214" s="2199"/>
      <c r="V214" s="2199"/>
      <c r="W214" s="2199"/>
      <c r="X214" s="2199"/>
      <c r="Y214" s="2199"/>
      <c r="Z214" s="2199"/>
      <c r="AA214" s="2199"/>
      <c r="AB214" s="2199"/>
      <c r="AC214" s="2199"/>
      <c r="AD214" s="2199"/>
      <c r="AE214" s="2199"/>
      <c r="AF214" s="2199"/>
      <c r="AG214" s="2199"/>
      <c r="AH214" s="2199"/>
      <c r="AI214" s="220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1956</v>
      </c>
      <c r="B1" s="777"/>
      <c r="C1" s="912" t="s">
        <v>1957</v>
      </c>
      <c r="D1" s="910" t="s">
        <v>820</v>
      </c>
      <c r="E1" s="910" t="s">
        <v>866</v>
      </c>
      <c r="F1" s="910" t="s">
        <v>919</v>
      </c>
      <c r="G1" s="910" t="s">
        <v>906</v>
      </c>
      <c r="H1" s="910" t="s">
        <v>1633</v>
      </c>
    </row>
    <row r="2" spans="1:8" ht="9" customHeight="1">
      <c r="A2" s="913" t="s">
        <v>1958</v>
      </c>
      <c r="B2" s="913"/>
      <c r="C2" s="914" t="str">
        <f>INDEX(TEMPLATE_NUMBER_FORM_LIST,MATCH(TEMPLATE_SPHERE,TEMPLATE_SPHERE_LIST,0))</f>
        <v>16</v>
      </c>
      <c r="D2" s="913" t="s">
        <v>1482</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1959</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1960</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1961</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1962</v>
      </c>
    </row>
    <row r="5" spans="1:8" ht="117" customHeight="1">
      <c r="A5" s="777" t="s">
        <v>1963</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1964</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1965</v>
      </c>
    </row>
    <row r="6" spans="1:8" ht="90" customHeight="1">
      <c r="A6" s="777" t="s">
        <v>1966</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1967</v>
      </c>
      <c r="B7" s="777" t="s">
        <v>112</v>
      </c>
      <c r="C7" s="914" t="str">
        <f>IF(TEMPLATE_SPHERE="HEAT",D7,E7)</f>
        <v>Форма 11. Информация о расходах на капитальный и текущий ремонт основных средств</v>
      </c>
      <c r="D7" s="777" t="s">
        <v>1968</v>
      </c>
      <c r="E7" s="777" t="s">
        <v>1969</v>
      </c>
      <c r="F7" s="916"/>
      <c r="G7" s="916"/>
      <c r="H7" s="916"/>
    </row>
    <row r="8" spans="1:8" ht="108" customHeight="1">
      <c r="A8" s="777" t="s">
        <v>1970</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1177</v>
      </c>
      <c r="E8" s="777" t="s">
        <v>1971</v>
      </c>
      <c r="F8" s="916"/>
      <c r="G8" s="916"/>
      <c r="H8" s="916"/>
    </row>
    <row r="9" spans="1:8" ht="99" customHeight="1">
      <c r="A9" s="777" t="s">
        <v>1972</v>
      </c>
      <c r="B9" s="777"/>
      <c r="C9" s="777" t="s">
        <v>1973</v>
      </c>
      <c r="D9" s="777"/>
      <c r="E9" s="777"/>
      <c r="F9" s="916"/>
      <c r="G9" s="916"/>
      <c r="H9" s="916"/>
    </row>
    <row r="10" spans="1:8" ht="126" customHeight="1">
      <c r="A10" s="777" t="s">
        <v>1974</v>
      </c>
      <c r="B10" s="777"/>
      <c r="C10" s="777" t="s">
        <v>1975</v>
      </c>
      <c r="D10" s="777"/>
      <c r="E10" s="777"/>
      <c r="F10" s="916"/>
      <c r="G10" s="916"/>
      <c r="H10" s="916"/>
    </row>
    <row r="11" spans="1:8" ht="108" customHeight="1">
      <c r="A11" s="777" t="s">
        <v>1976</v>
      </c>
      <c r="B11" s="777"/>
      <c r="C11" s="777" t="s">
        <v>1977</v>
      </c>
      <c r="D11" s="777"/>
      <c r="E11" s="777"/>
      <c r="F11" s="916"/>
      <c r="G11" s="916"/>
      <c r="H11" s="916"/>
    </row>
    <row r="12" spans="1:8" ht="54" customHeight="1">
      <c r="A12" s="777" t="s">
        <v>1978</v>
      </c>
      <c r="B12" s="777"/>
      <c r="C12" s="777" t="s">
        <v>1979</v>
      </c>
      <c r="D12" s="777"/>
      <c r="E12" s="777"/>
      <c r="F12" s="916"/>
      <c r="G12" s="916"/>
      <c r="H12" s="916"/>
    </row>
    <row r="13" spans="1:8" ht="45" customHeight="1">
      <c r="A13" s="777" t="s">
        <v>1980</v>
      </c>
      <c r="B13" s="777"/>
      <c r="C13" s="777" t="s">
        <v>1981</v>
      </c>
      <c r="D13" s="777"/>
      <c r="E13" s="777"/>
      <c r="F13" s="916"/>
      <c r="G13" s="916"/>
      <c r="H13" s="916"/>
    </row>
    <row r="14" spans="1:8" ht="117" customHeight="1">
      <c r="A14" s="777" t="s">
        <v>1982</v>
      </c>
      <c r="B14" s="777"/>
      <c r="C14" s="777" t="s">
        <v>1983</v>
      </c>
      <c r="D14" s="777"/>
      <c r="E14" s="777"/>
      <c r="F14" s="916"/>
      <c r="G14" s="916"/>
      <c r="H14" s="916"/>
    </row>
    <row r="15" spans="1:8" ht="117" customHeight="1">
      <c r="A15" s="777" t="s">
        <v>1984</v>
      </c>
      <c r="B15" s="777"/>
      <c r="C15" s="777" t="s">
        <v>1985</v>
      </c>
      <c r="D15" s="777"/>
      <c r="E15" s="777"/>
      <c r="F15" s="916"/>
      <c r="G15" s="916"/>
      <c r="H15" s="916"/>
    </row>
    <row r="16" spans="1:8" ht="63" customHeight="1">
      <c r="A16" s="777" t="s">
        <v>1986</v>
      </c>
      <c r="B16" s="777"/>
      <c r="C16" s="777" t="s">
        <v>1987</v>
      </c>
      <c r="D16" s="777"/>
      <c r="E16" s="777"/>
      <c r="F16" s="916"/>
      <c r="G16" s="916"/>
      <c r="H16" s="916"/>
    </row>
    <row r="17" spans="1:8" ht="54" customHeight="1">
      <c r="A17" s="777" t="s">
        <v>1988</v>
      </c>
      <c r="B17" s="777"/>
      <c r="C17" s="914" t="s">
        <v>1989</v>
      </c>
      <c r="D17" s="777"/>
      <c r="E17" s="777"/>
      <c r="F17" s="916"/>
      <c r="G17" s="916"/>
      <c r="H17" s="916"/>
    </row>
    <row r="18" spans="1:8" ht="27" customHeight="1">
      <c r="A18" s="777" t="s">
        <v>1990</v>
      </c>
      <c r="B18" s="777"/>
      <c r="C18" s="914" t="s">
        <v>1991</v>
      </c>
      <c r="D18" s="777"/>
      <c r="E18" s="777"/>
      <c r="F18" s="916"/>
      <c r="G18" s="916"/>
      <c r="H18" s="916"/>
    </row>
    <row r="19" spans="1:8" ht="54" customHeight="1">
      <c r="A19" s="777" t="s">
        <v>1992</v>
      </c>
      <c r="B19" s="777"/>
      <c r="C19" s="914" t="s">
        <v>1993</v>
      </c>
      <c r="D19" s="777"/>
      <c r="E19" s="777"/>
      <c r="F19" s="916"/>
      <c r="G19" s="916"/>
      <c r="H19" s="916"/>
    </row>
    <row r="20" spans="1:8" ht="36" customHeight="1">
      <c r="A20" s="777" t="s">
        <v>1994</v>
      </c>
      <c r="B20" s="777"/>
      <c r="C20" s="914" t="s">
        <v>1995</v>
      </c>
      <c r="D20" s="777"/>
      <c r="E20" s="777"/>
      <c r="F20" s="916"/>
      <c r="G20" s="916"/>
      <c r="H20" s="916"/>
    </row>
    <row r="21" spans="1:8" ht="36" customHeight="1">
      <c r="A21" s="777" t="s">
        <v>1996</v>
      </c>
      <c r="B21" s="777"/>
      <c r="C21" s="914" t="s">
        <v>1997</v>
      </c>
      <c r="D21" s="777"/>
      <c r="E21" s="777"/>
      <c r="F21" s="916"/>
      <c r="G21" s="916"/>
      <c r="H21" s="916"/>
    </row>
    <row r="22" spans="1:8" ht="27" customHeight="1">
      <c r="A22" s="777" t="s">
        <v>1998</v>
      </c>
      <c r="B22" s="777"/>
      <c r="C22" s="914" t="s">
        <v>1999</v>
      </c>
      <c r="D22" s="777"/>
      <c r="E22" s="777"/>
      <c r="F22" s="916"/>
      <c r="G22" s="916"/>
      <c r="H22" s="916"/>
    </row>
    <row r="23" spans="1:8" ht="36" customHeight="1">
      <c r="A23" s="777" t="s">
        <v>2000</v>
      </c>
      <c r="B23" s="777"/>
      <c r="C23" s="914" t="s">
        <v>2001</v>
      </c>
      <c r="D23" s="777"/>
      <c r="E23" s="777"/>
      <c r="F23" s="916"/>
      <c r="G23" s="916"/>
      <c r="H23" s="916"/>
    </row>
    <row r="24" spans="1:8" ht="28.5" customHeight="1">
      <c r="A24" s="777" t="s">
        <v>2002</v>
      </c>
      <c r="B24" s="777"/>
      <c r="C24" s="914" t="s">
        <v>2003</v>
      </c>
      <c r="D24" s="777"/>
      <c r="E24" s="777"/>
      <c r="F24" s="916"/>
      <c r="G24" s="916"/>
      <c r="H24" s="916"/>
    </row>
    <row r="25" spans="1:8" ht="36" customHeight="1">
      <c r="A25" s="777" t="s">
        <v>2004</v>
      </c>
      <c r="B25" s="777"/>
      <c r="C25" s="914" t="s">
        <v>2005</v>
      </c>
      <c r="D25" s="777"/>
      <c r="E25" s="777"/>
      <c r="F25" s="916"/>
      <c r="G25" s="916"/>
      <c r="H25" s="916"/>
    </row>
    <row r="26" spans="1:8" ht="27" customHeight="1">
      <c r="A26" s="777" t="s">
        <v>2006</v>
      </c>
      <c r="B26" s="777"/>
      <c r="C26" s="914" t="s">
        <v>2007</v>
      </c>
      <c r="D26" s="777"/>
      <c r="E26" s="777"/>
      <c r="F26" s="916"/>
      <c r="G26" s="916"/>
      <c r="H26" s="916"/>
    </row>
    <row r="27" spans="1:8" ht="36" customHeight="1">
      <c r="A27" s="777" t="s">
        <v>2008</v>
      </c>
      <c r="B27" s="777"/>
      <c r="C27" s="914" t="s">
        <v>2009</v>
      </c>
      <c r="D27" s="777"/>
      <c r="E27" s="777"/>
      <c r="F27" s="916"/>
      <c r="G27" s="916"/>
      <c r="H27" s="916"/>
    </row>
    <row r="28" spans="1:8" ht="28.5" customHeight="1">
      <c r="A28" s="777" t="s">
        <v>2010</v>
      </c>
      <c r="B28" s="777"/>
      <c r="C28" s="914" t="s">
        <v>2011</v>
      </c>
      <c r="D28" s="777"/>
      <c r="E28" s="777"/>
      <c r="F28" s="916"/>
      <c r="G28" s="916"/>
      <c r="H28" s="916"/>
    </row>
    <row r="29" spans="1:8" ht="126" customHeight="1">
      <c r="A29" s="777" t="s">
        <v>2012</v>
      </c>
      <c r="B29" s="777" t="s">
        <v>1584</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2013</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2014</v>
      </c>
    </row>
    <row r="30" spans="1:8" ht="36" customHeight="1">
      <c r="A30" s="777" t="s">
        <v>2015</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2016</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2017</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2018</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2019</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2020</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2021</v>
      </c>
    </row>
    <row r="33" spans="1:8" ht="9" customHeight="1">
      <c r="A33" s="777"/>
      <c r="B33" s="777"/>
      <c r="C33" s="914"/>
      <c r="D33" s="777"/>
      <c r="E33" s="777"/>
      <c r="F33" s="916"/>
      <c r="G33" s="916"/>
      <c r="H33" s="916"/>
    </row>
    <row r="34" spans="1:8" ht="9" customHeight="1">
      <c r="A34" s="777"/>
      <c r="B34" s="777" t="s">
        <v>1520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2022</v>
      </c>
      <c r="D1" s="828"/>
      <c r="E1" s="828"/>
      <c r="F1" s="828"/>
      <c r="G1" s="828"/>
      <c r="H1" s="828" t="s">
        <v>2023</v>
      </c>
      <c r="I1" s="828"/>
      <c r="J1" s="828"/>
      <c r="K1" s="828"/>
      <c r="L1" s="828"/>
      <c r="M1" s="828" t="s">
        <v>2024</v>
      </c>
      <c r="N1" s="828" t="s">
        <v>2025</v>
      </c>
      <c r="O1" s="2526" t="s">
        <v>2026</v>
      </c>
      <c r="P1" s="2526"/>
      <c r="Q1" s="2526"/>
      <c r="R1" s="2526"/>
      <c r="S1" s="2526"/>
      <c r="T1" s="2526" t="s">
        <v>2024</v>
      </c>
      <c r="U1" s="2526"/>
      <c r="V1" s="2526"/>
      <c r="W1" s="2526"/>
      <c r="X1" s="2526"/>
      <c r="Y1" s="929"/>
      <c r="Z1" s="2526" t="s">
        <v>2027</v>
      </c>
      <c r="AA1" s="2526"/>
      <c r="AB1" s="2526"/>
      <c r="AC1" s="2526"/>
      <c r="AD1" s="2526"/>
    </row>
    <row r="2" spans="1:34" ht="18" customHeight="1">
      <c r="A2" s="777"/>
      <c r="B2" s="777"/>
      <c r="C2" s="772" t="s">
        <v>820</v>
      </c>
      <c r="D2" s="772" t="s">
        <v>866</v>
      </c>
      <c r="E2" s="772" t="s">
        <v>919</v>
      </c>
      <c r="F2" s="772" t="s">
        <v>906</v>
      </c>
      <c r="G2" s="772" t="s">
        <v>1633</v>
      </c>
      <c r="H2" s="774"/>
      <c r="I2" s="774"/>
      <c r="J2" s="774"/>
      <c r="K2" s="774"/>
      <c r="L2" s="774"/>
      <c r="M2" s="774"/>
      <c r="N2" s="774"/>
      <c r="O2" s="772" t="s">
        <v>820</v>
      </c>
      <c r="P2" s="772" t="s">
        <v>866</v>
      </c>
      <c r="Q2" s="772" t="s">
        <v>906</v>
      </c>
      <c r="R2" s="772" t="s">
        <v>919</v>
      </c>
      <c r="S2" s="772" t="s">
        <v>1633</v>
      </c>
      <c r="T2" s="772" t="s">
        <v>820</v>
      </c>
      <c r="U2" s="772" t="s">
        <v>866</v>
      </c>
      <c r="V2" s="772" t="s">
        <v>906</v>
      </c>
      <c r="W2" s="772" t="s">
        <v>919</v>
      </c>
      <c r="X2" s="772" t="s">
        <v>1633</v>
      </c>
      <c r="Y2" s="772"/>
      <c r="Z2" s="772" t="s">
        <v>820</v>
      </c>
      <c r="AA2" s="781" t="s">
        <v>866</v>
      </c>
      <c r="AB2" s="772" t="s">
        <v>906</v>
      </c>
      <c r="AC2" s="772" t="s">
        <v>919</v>
      </c>
      <c r="AD2" s="772" t="s">
        <v>1633</v>
      </c>
    </row>
    <row r="3" spans="1:34" ht="162" customHeight="1">
      <c r="A3" s="776" t="s">
        <v>26</v>
      </c>
      <c r="B3" s="776"/>
      <c r="C3" s="2530" t="s">
        <v>2028</v>
      </c>
      <c r="D3" s="2531"/>
      <c r="E3" s="2531"/>
      <c r="F3" s="2532"/>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2029</v>
      </c>
      <c r="AA3" s="774" t="s">
        <v>2030</v>
      </c>
      <c r="AB3" s="777" t="s">
        <v>2031</v>
      </c>
      <c r="AC3" s="777" t="s">
        <v>2032</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27" t="s">
        <v>33</v>
      </c>
      <c r="B11" s="829">
        <v>1</v>
      </c>
      <c r="C11" s="2533" t="s">
        <v>1571</v>
      </c>
      <c r="D11" s="2533" t="s">
        <v>1567</v>
      </c>
      <c r="E11" s="2533" t="s">
        <v>1665</v>
      </c>
      <c r="F11" s="2533" t="s">
        <v>2033</v>
      </c>
      <c r="G11" s="2533"/>
      <c r="H11" s="828" t="s">
        <v>2034</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2035</v>
      </c>
      <c r="U11" s="774" t="s">
        <v>2036</v>
      </c>
      <c r="V11" s="774"/>
      <c r="W11" s="774"/>
      <c r="X11" s="774"/>
      <c r="Y11" s="930"/>
      <c r="Z11" s="777" t="s">
        <v>2037</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27"/>
      <c r="B12" s="829">
        <v>2</v>
      </c>
      <c r="C12" s="2534"/>
      <c r="D12" s="2534"/>
      <c r="E12" s="2534"/>
      <c r="F12" s="2534"/>
      <c r="G12" s="2534"/>
      <c r="H12" s="828" t="s">
        <v>2038</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2039</v>
      </c>
      <c r="U12" s="774" t="s">
        <v>2040</v>
      </c>
      <c r="V12" s="774"/>
      <c r="W12" s="774"/>
      <c r="X12" s="774"/>
      <c r="Y12" s="930"/>
      <c r="Z12" s="777" t="s">
        <v>2041</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27"/>
      <c r="B13" s="829">
        <v>3</v>
      </c>
      <c r="C13" s="2534"/>
      <c r="D13" s="2534"/>
      <c r="E13" s="2534"/>
      <c r="F13" s="2534"/>
      <c r="G13" s="2534"/>
      <c r="H13" s="2526" t="s">
        <v>2042</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2043</v>
      </c>
      <c r="U13" s="775" t="s">
        <v>2044</v>
      </c>
      <c r="V13" s="775"/>
      <c r="W13" s="775"/>
      <c r="X13" s="774"/>
      <c r="Y13" s="930"/>
      <c r="Z13" s="777" t="s">
        <v>2045</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27"/>
      <c r="B14" s="829">
        <v>4</v>
      </c>
      <c r="C14" s="2534"/>
      <c r="D14" s="2534"/>
      <c r="E14" s="2534"/>
      <c r="F14" s="2534"/>
      <c r="G14" s="2534"/>
      <c r="H14" s="2526"/>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2046</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2047</v>
      </c>
      <c r="AA14" s="780" t="s">
        <v>2047</v>
      </c>
      <c r="AB14" s="777"/>
      <c r="AC14" s="777"/>
      <c r="AD14" s="777"/>
    </row>
    <row r="15" spans="1:34" ht="108" customHeight="1">
      <c r="A15" s="2527"/>
      <c r="B15" s="829">
        <v>5</v>
      </c>
      <c r="C15" s="2534"/>
      <c r="D15" s="2534"/>
      <c r="E15" s="2534"/>
      <c r="F15" s="2534"/>
      <c r="G15" s="2534"/>
      <c r="H15" s="2528" t="s">
        <v>2048</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2049</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2050</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35"/>
      <c r="D16" s="2535"/>
      <c r="E16" s="2535"/>
      <c r="F16" s="2535"/>
      <c r="G16" s="2535"/>
      <c r="H16" s="2529"/>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2050</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1668</v>
      </c>
      <c r="B18" s="829">
        <v>1</v>
      </c>
      <c r="C18" s="774" t="s">
        <v>2034</v>
      </c>
      <c r="D18" s="897" t="s">
        <v>2034</v>
      </c>
      <c r="E18" s="774" t="s">
        <v>2034</v>
      </c>
      <c r="F18" s="774" t="s">
        <v>2034</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2051</v>
      </c>
      <c r="U18" s="777" t="s">
        <v>2052</v>
      </c>
      <c r="V18" s="777" t="s">
        <v>2053</v>
      </c>
      <c r="W18" s="777" t="s">
        <v>2054</v>
      </c>
      <c r="X18" s="774"/>
      <c r="Y18" s="930"/>
      <c r="Z18" s="777" t="s">
        <v>2055</v>
      </c>
      <c r="AA18" s="780" t="s">
        <v>2056</v>
      </c>
      <c r="AB18" s="780" t="s">
        <v>2056</v>
      </c>
      <c r="AC18" s="780" t="s">
        <v>2056</v>
      </c>
      <c r="AD18" s="777"/>
    </row>
    <row r="19" spans="1:30" ht="36" customHeight="1">
      <c r="A19" s="776"/>
      <c r="B19" s="829">
        <v>2</v>
      </c>
      <c r="C19" s="774" t="s">
        <v>2038</v>
      </c>
      <c r="D19" s="897" t="s">
        <v>2038</v>
      </c>
      <c r="E19" s="774" t="s">
        <v>2038</v>
      </c>
      <c r="F19" s="774" t="s">
        <v>2038</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2057</v>
      </c>
      <c r="U19" s="777" t="s">
        <v>2058</v>
      </c>
      <c r="V19" s="777" t="s">
        <v>2059</v>
      </c>
      <c r="W19" s="777" t="s">
        <v>2060</v>
      </c>
      <c r="X19" s="774"/>
      <c r="Y19" s="930"/>
      <c r="Z19" s="777" t="s">
        <v>2061</v>
      </c>
      <c r="AA19" s="780" t="s">
        <v>2061</v>
      </c>
      <c r="AB19" s="780" t="s">
        <v>2061</v>
      </c>
      <c r="AC19" s="780" t="s">
        <v>2061</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721</v>
      </c>
      <c r="P20" s="887" t="s">
        <v>721</v>
      </c>
      <c r="Q20" s="887" t="s">
        <v>721</v>
      </c>
      <c r="R20" s="887" t="s">
        <v>721</v>
      </c>
      <c r="S20" s="887"/>
      <c r="T20" s="894" t="s">
        <v>2062</v>
      </c>
      <c r="U20" s="777" t="s">
        <v>2063</v>
      </c>
      <c r="V20" s="777" t="s">
        <v>2064</v>
      </c>
      <c r="W20" s="777" t="s">
        <v>2065</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2066</v>
      </c>
      <c r="U21" s="777"/>
      <c r="V21" s="777"/>
      <c r="W21" s="777"/>
      <c r="X21" s="774"/>
      <c r="Y21" s="930"/>
      <c r="Z21" s="777" t="s">
        <v>2067</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2068</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2069</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741</v>
      </c>
      <c r="R24" s="887"/>
      <c r="S24" s="887"/>
      <c r="T24" s="894"/>
      <c r="U24" s="777"/>
      <c r="V24" s="777" t="s">
        <v>2070</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748</v>
      </c>
      <c r="R25" s="887" t="s">
        <v>313</v>
      </c>
      <c r="S25" s="887"/>
      <c r="T25" s="894" t="s">
        <v>2071</v>
      </c>
      <c r="U25" s="777" t="s">
        <v>2071</v>
      </c>
      <c r="V25" s="777" t="s">
        <v>2071</v>
      </c>
      <c r="W25" s="777" t="s">
        <v>2071</v>
      </c>
      <c r="X25" s="774"/>
      <c r="Y25" s="930"/>
      <c r="Z25" s="777"/>
      <c r="AA25" s="780"/>
      <c r="AB25" s="777"/>
      <c r="AC25" s="777"/>
      <c r="AD25" s="777"/>
    </row>
    <row r="26" spans="1:30" ht="18" customHeight="1">
      <c r="A26" s="776"/>
      <c r="B26" s="829">
        <v>9</v>
      </c>
      <c r="C26" s="774" t="s">
        <v>665</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737</v>
      </c>
      <c r="P26" s="887" t="s">
        <v>731</v>
      </c>
      <c r="Q26" s="887" t="s">
        <v>2072</v>
      </c>
      <c r="R26" s="887" t="s">
        <v>731</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2073</v>
      </c>
      <c r="V26" s="894" t="s">
        <v>2073</v>
      </c>
      <c r="W26" s="894" t="s">
        <v>2073</v>
      </c>
      <c r="X26" s="774"/>
      <c r="Y26" s="930"/>
      <c r="Z26" s="777"/>
      <c r="AA26" s="780"/>
      <c r="AB26" s="777"/>
      <c r="AC26" s="777"/>
      <c r="AD26" s="777"/>
    </row>
    <row r="27" spans="1:30" ht="18" customHeight="1">
      <c r="A27" s="776"/>
      <c r="B27" s="829">
        <v>10</v>
      </c>
      <c r="C27" s="774" t="s">
        <v>669</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739</v>
      </c>
      <c r="P27" s="887" t="s">
        <v>733</v>
      </c>
      <c r="Q27" s="887" t="s">
        <v>2074</v>
      </c>
      <c r="R27" s="887" t="s">
        <v>733</v>
      </c>
      <c r="S27" s="887"/>
      <c r="T27" s="894" t="s">
        <v>2075</v>
      </c>
      <c r="U27" s="894" t="s">
        <v>2075</v>
      </c>
      <c r="V27" s="894" t="s">
        <v>2075</v>
      </c>
      <c r="W27" s="894" t="s">
        <v>2075</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741</v>
      </c>
      <c r="P28" s="887"/>
      <c r="Q28" s="887"/>
      <c r="R28" s="887"/>
      <c r="S28" s="887"/>
      <c r="T28" s="894" t="s">
        <v>2076</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748</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2077</v>
      </c>
      <c r="V29" s="777"/>
      <c r="W29" s="777" t="s">
        <v>2077</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750</v>
      </c>
      <c r="P30" s="887" t="s">
        <v>741</v>
      </c>
      <c r="Q30" s="887" t="s">
        <v>750</v>
      </c>
      <c r="R30" s="887" t="s">
        <v>741</v>
      </c>
      <c r="S30" s="887"/>
      <c r="T30" s="894" t="s">
        <v>2078</v>
      </c>
      <c r="U30" s="777" t="s">
        <v>2078</v>
      </c>
      <c r="V30" s="777" t="s">
        <v>2078</v>
      </c>
      <c r="W30" s="777" t="s">
        <v>2078</v>
      </c>
      <c r="X30" s="774"/>
      <c r="Y30" s="930"/>
      <c r="Z30" s="777"/>
      <c r="AA30" s="780" t="s">
        <v>2079</v>
      </c>
      <c r="AB30" s="780" t="s">
        <v>2079</v>
      </c>
      <c r="AC30" s="780" t="s">
        <v>2079</v>
      </c>
      <c r="AD30" s="777"/>
    </row>
    <row r="31" spans="1:30" ht="18" customHeight="1">
      <c r="A31" s="776"/>
      <c r="B31" s="829">
        <v>14</v>
      </c>
      <c r="C31" s="774" t="s">
        <v>2080</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2081</v>
      </c>
      <c r="P31" s="887" t="s">
        <v>744</v>
      </c>
      <c r="Q31" s="887" t="s">
        <v>2081</v>
      </c>
      <c r="R31" s="887" t="s">
        <v>744</v>
      </c>
      <c r="S31" s="887"/>
      <c r="T31" s="895" t="s">
        <v>2082</v>
      </c>
      <c r="U31" s="777" t="s">
        <v>2082</v>
      </c>
      <c r="V31" s="777" t="s">
        <v>2082</v>
      </c>
      <c r="W31" s="777" t="s">
        <v>2082</v>
      </c>
      <c r="X31" s="774"/>
      <c r="Y31" s="930"/>
      <c r="Z31" s="777"/>
      <c r="AA31" s="780"/>
      <c r="AB31" s="780"/>
      <c r="AC31" s="780"/>
      <c r="AD31" s="777"/>
    </row>
    <row r="32" spans="1:30" ht="36" customHeight="1">
      <c r="A32" s="776"/>
      <c r="B32" s="829">
        <v>15</v>
      </c>
      <c r="C32" s="774" t="s">
        <v>2083</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2084</v>
      </c>
      <c r="P32" s="887" t="s">
        <v>746</v>
      </c>
      <c r="Q32" s="887" t="s">
        <v>2084</v>
      </c>
      <c r="R32" s="887" t="s">
        <v>746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2085</v>
      </c>
      <c r="V32" s="777" t="s">
        <v>2085</v>
      </c>
      <c r="W32" s="777" t="s">
        <v>2085</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752</v>
      </c>
      <c r="P33" s="887" t="s">
        <v>748</v>
      </c>
      <c r="Q33" s="887" t="s">
        <v>752</v>
      </c>
      <c r="R33" s="887" t="s">
        <v>748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2086</v>
      </c>
      <c r="V33" s="777" t="s">
        <v>2086</v>
      </c>
      <c r="W33" s="777" t="s">
        <v>2087</v>
      </c>
      <c r="X33" s="774"/>
      <c r="Y33" s="930"/>
      <c r="Z33" s="777"/>
      <c r="AA33" s="780" t="s">
        <v>2088</v>
      </c>
      <c r="AB33" s="780" t="s">
        <v>2088</v>
      </c>
      <c r="AC33" s="780" t="s">
        <v>2088</v>
      </c>
      <c r="AD33" s="777"/>
    </row>
    <row r="34" spans="1:30" ht="27" customHeight="1">
      <c r="A34" s="776"/>
      <c r="B34" s="829">
        <v>17</v>
      </c>
      <c r="C34" s="774" t="s">
        <v>2089</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2090</v>
      </c>
      <c r="P34" s="887" t="s">
        <v>2072</v>
      </c>
      <c r="Q34" s="887" t="s">
        <v>2090</v>
      </c>
      <c r="R34" s="887" t="s">
        <v>2072</v>
      </c>
      <c r="S34" s="887"/>
      <c r="T34" s="896" t="s">
        <v>2091</v>
      </c>
      <c r="U34" s="777" t="s">
        <v>2091</v>
      </c>
      <c r="V34" s="777" t="s">
        <v>2091</v>
      </c>
      <c r="W34" s="777" t="s">
        <v>2092</v>
      </c>
      <c r="X34" s="774"/>
      <c r="Y34" s="930"/>
      <c r="Z34" s="777"/>
      <c r="AA34" s="780"/>
      <c r="AB34" s="777"/>
      <c r="AC34" s="777"/>
      <c r="AD34" s="777"/>
    </row>
    <row r="35" spans="1:30" ht="45" customHeight="1">
      <c r="A35" s="776"/>
      <c r="B35" s="829">
        <v>18</v>
      </c>
      <c r="C35" s="774" t="s">
        <v>2093</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2094</v>
      </c>
      <c r="P35" s="887" t="s">
        <v>2074</v>
      </c>
      <c r="Q35" s="887" t="s">
        <v>2094</v>
      </c>
      <c r="R35" s="887" t="s">
        <v>2074</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2095</v>
      </c>
      <c r="V35" s="777" t="s">
        <v>2095</v>
      </c>
      <c r="W35" s="777" t="s">
        <v>2095</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754</v>
      </c>
      <c r="P36" s="887" t="s">
        <v>750</v>
      </c>
      <c r="Q36" s="887" t="s">
        <v>754</v>
      </c>
      <c r="R36" s="887" t="s">
        <v>750</v>
      </c>
      <c r="S36" s="887"/>
      <c r="T36" s="894" t="s">
        <v>2096</v>
      </c>
      <c r="U36" s="777" t="s">
        <v>2096</v>
      </c>
      <c r="V36" s="777" t="s">
        <v>2096</v>
      </c>
      <c r="W36" s="777" t="s">
        <v>2096</v>
      </c>
      <c r="X36" s="774"/>
      <c r="Y36" s="930"/>
      <c r="Z36" s="777"/>
      <c r="AA36" s="780"/>
      <c r="AB36" s="777"/>
      <c r="AC36" s="777"/>
      <c r="AD36" s="777"/>
    </row>
    <row r="37" spans="1:30" ht="18" customHeight="1">
      <c r="A37" s="776"/>
      <c r="B37" s="829">
        <v>20</v>
      </c>
      <c r="C37" s="774" t="s">
        <v>2097</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2098</v>
      </c>
      <c r="P37" s="887" t="s">
        <v>2081</v>
      </c>
      <c r="Q37" s="887" t="s">
        <v>2098</v>
      </c>
      <c r="R37" s="887" t="s">
        <v>2081</v>
      </c>
      <c r="S37" s="887"/>
      <c r="T37" s="894" t="s">
        <v>2099</v>
      </c>
      <c r="U37" s="777" t="s">
        <v>2099</v>
      </c>
      <c r="V37" s="777" t="s">
        <v>2099</v>
      </c>
      <c r="W37" s="777" t="s">
        <v>2099</v>
      </c>
      <c r="X37" s="774"/>
      <c r="Y37" s="930"/>
      <c r="Z37" s="777"/>
      <c r="AA37" s="780"/>
      <c r="AB37" s="777"/>
      <c r="AC37" s="777"/>
      <c r="AD37" s="777"/>
    </row>
    <row r="38" spans="1:30" ht="18" customHeight="1">
      <c r="A38" s="776"/>
      <c r="B38" s="829">
        <v>21</v>
      </c>
      <c r="C38" s="774" t="s">
        <v>2100</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2101</v>
      </c>
      <c r="P38" s="887" t="s">
        <v>2084</v>
      </c>
      <c r="Q38" s="887" t="s">
        <v>2101</v>
      </c>
      <c r="R38" s="887" t="s">
        <v>2084</v>
      </c>
      <c r="S38" s="887"/>
      <c r="T38" s="894" t="s">
        <v>2102</v>
      </c>
      <c r="U38" s="777" t="s">
        <v>2102</v>
      </c>
      <c r="V38" s="777" t="s">
        <v>2102</v>
      </c>
      <c r="W38" s="777" t="s">
        <v>2102</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758</v>
      </c>
      <c r="P39" s="887" t="s">
        <v>752</v>
      </c>
      <c r="Q39" s="887" t="s">
        <v>758</v>
      </c>
      <c r="R39" s="887" t="s">
        <v>752</v>
      </c>
      <c r="S39" s="887"/>
      <c r="T39" s="894" t="s">
        <v>2103</v>
      </c>
      <c r="U39" s="777" t="s">
        <v>2104</v>
      </c>
      <c r="V39" s="777" t="s">
        <v>2105</v>
      </c>
      <c r="W39" s="777" t="s">
        <v>2106</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2107</v>
      </c>
      <c r="P40" s="887" t="s">
        <v>754</v>
      </c>
      <c r="Q40" s="887" t="s">
        <v>2107</v>
      </c>
      <c r="R40" s="887" t="s">
        <v>754</v>
      </c>
      <c r="S40" s="887"/>
      <c r="T40" s="774" t="s">
        <v>2108</v>
      </c>
      <c r="U40" s="774" t="s">
        <v>2108</v>
      </c>
      <c r="V40" s="774" t="s">
        <v>2108</v>
      </c>
      <c r="W40" s="774" t="s">
        <v>2108</v>
      </c>
      <c r="X40" s="774"/>
      <c r="Y40" s="930"/>
      <c r="Z40" s="777" t="s">
        <v>2109</v>
      </c>
      <c r="AA40" s="780" t="s">
        <v>2109</v>
      </c>
      <c r="AB40" s="780" t="s">
        <v>2109</v>
      </c>
      <c r="AC40" s="780" t="s">
        <v>2109</v>
      </c>
      <c r="AD40" s="777"/>
    </row>
    <row r="41" spans="1:30" ht="27" customHeight="1">
      <c r="A41" s="776"/>
      <c r="B41" s="829">
        <v>24</v>
      </c>
      <c r="C41" s="774" t="s">
        <v>2110</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2111</v>
      </c>
      <c r="P41" s="887" t="s">
        <v>2098</v>
      </c>
      <c r="Q41" s="887" t="s">
        <v>2111</v>
      </c>
      <c r="R41" s="887" t="s">
        <v>2098</v>
      </c>
      <c r="S41" s="887"/>
      <c r="T41" s="774" t="s">
        <v>2112</v>
      </c>
      <c r="U41" s="774" t="s">
        <v>2112</v>
      </c>
      <c r="V41" s="774" t="s">
        <v>2112</v>
      </c>
      <c r="W41" s="774" t="s">
        <v>2112</v>
      </c>
      <c r="X41" s="774"/>
      <c r="Y41" s="930"/>
      <c r="Z41" s="777" t="s">
        <v>2113</v>
      </c>
      <c r="AA41" s="777" t="s">
        <v>2113</v>
      </c>
      <c r="AB41" s="777" t="s">
        <v>2113</v>
      </c>
      <c r="AC41" s="777" t="s">
        <v>2113</v>
      </c>
      <c r="AD41" s="777"/>
    </row>
    <row r="42" spans="1:30" ht="27" customHeight="1">
      <c r="A42" s="776"/>
      <c r="B42" s="829">
        <v>25</v>
      </c>
      <c r="C42" s="774" t="s">
        <v>2114</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2115</v>
      </c>
      <c r="P42" s="887" t="s">
        <v>2101</v>
      </c>
      <c r="Q42" s="887" t="s">
        <v>2115</v>
      </c>
      <c r="R42" s="887" t="s">
        <v>2101</v>
      </c>
      <c r="S42" s="887"/>
      <c r="T42" s="774" t="s">
        <v>2116</v>
      </c>
      <c r="U42" s="774" t="s">
        <v>2116</v>
      </c>
      <c r="V42" s="774" t="s">
        <v>2116</v>
      </c>
      <c r="W42" s="774" t="s">
        <v>2116</v>
      </c>
      <c r="X42" s="774"/>
      <c r="Y42" s="930"/>
      <c r="Z42" s="777" t="s">
        <v>2117</v>
      </c>
      <c r="AA42" s="777" t="s">
        <v>2117</v>
      </c>
      <c r="AB42" s="777" t="s">
        <v>2117</v>
      </c>
      <c r="AC42" s="777" t="s">
        <v>2117</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2118</v>
      </c>
      <c r="P43" s="887" t="s">
        <v>758</v>
      </c>
      <c r="Q43" s="887" t="s">
        <v>2118</v>
      </c>
      <c r="R43" s="887" t="s">
        <v>758</v>
      </c>
      <c r="S43" s="887"/>
      <c r="T43" s="774" t="s">
        <v>2119</v>
      </c>
      <c r="U43" s="774" t="s">
        <v>2119</v>
      </c>
      <c r="V43" s="774" t="s">
        <v>2119</v>
      </c>
      <c r="W43" s="774" t="s">
        <v>2119</v>
      </c>
      <c r="X43" s="774"/>
      <c r="Y43" s="930"/>
      <c r="Z43" s="777" t="s">
        <v>2120</v>
      </c>
      <c r="AA43" s="777" t="s">
        <v>2120</v>
      </c>
      <c r="AB43" s="777" t="s">
        <v>2120</v>
      </c>
      <c r="AC43" s="777" t="s">
        <v>2120</v>
      </c>
      <c r="AD43" s="777"/>
    </row>
    <row r="44" spans="1:30" ht="27" customHeight="1">
      <c r="A44" s="776"/>
      <c r="B44" s="829">
        <v>27</v>
      </c>
      <c r="C44" s="774" t="s">
        <v>2121</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2122</v>
      </c>
      <c r="P44" s="887" t="s">
        <v>2123</v>
      </c>
      <c r="Q44" s="887" t="s">
        <v>2122</v>
      </c>
      <c r="R44" s="887" t="s">
        <v>2123</v>
      </c>
      <c r="S44" s="887"/>
      <c r="T44" s="774" t="s">
        <v>2112</v>
      </c>
      <c r="U44" s="774" t="s">
        <v>2112</v>
      </c>
      <c r="V44" s="774" t="s">
        <v>2112</v>
      </c>
      <c r="W44" s="774" t="s">
        <v>2112</v>
      </c>
      <c r="X44" s="774"/>
      <c r="Y44" s="930"/>
      <c r="Z44" s="777" t="s">
        <v>2124</v>
      </c>
      <c r="AA44" s="777" t="s">
        <v>2124</v>
      </c>
      <c r="AB44" s="777" t="s">
        <v>2124</v>
      </c>
      <c r="AC44" s="777" t="s">
        <v>2124</v>
      </c>
      <c r="AD44" s="777"/>
    </row>
    <row r="45" spans="1:30" ht="27" customHeight="1">
      <c r="A45" s="776"/>
      <c r="B45" s="829">
        <v>28</v>
      </c>
      <c r="C45" s="774" t="s">
        <v>2125</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2126</v>
      </c>
      <c r="P45" s="887" t="s">
        <v>2127</v>
      </c>
      <c r="Q45" s="887" t="s">
        <v>2126</v>
      </c>
      <c r="R45" s="887" t="s">
        <v>2127</v>
      </c>
      <c r="S45" s="887"/>
      <c r="T45" s="774" t="s">
        <v>2116</v>
      </c>
      <c r="U45" s="774" t="s">
        <v>2116</v>
      </c>
      <c r="V45" s="774" t="s">
        <v>2116</v>
      </c>
      <c r="W45" s="774" t="s">
        <v>2116</v>
      </c>
      <c r="X45" s="774"/>
      <c r="Y45" s="930"/>
      <c r="Z45" s="777" t="s">
        <v>2128</v>
      </c>
      <c r="AA45" s="777" t="s">
        <v>2128</v>
      </c>
      <c r="AB45" s="777" t="s">
        <v>2128</v>
      </c>
      <c r="AC45" s="777" t="s">
        <v>2128</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2129</v>
      </c>
      <c r="P46" s="887" t="s">
        <v>2107</v>
      </c>
      <c r="Q46" s="887" t="s">
        <v>2129</v>
      </c>
      <c r="R46" s="887" t="s">
        <v>2107</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2130</v>
      </c>
      <c r="V46" s="774" t="s">
        <v>2130</v>
      </c>
      <c r="W46" s="774" t="s">
        <v>2130</v>
      </c>
      <c r="X46" s="774"/>
      <c r="Y46" s="930"/>
      <c r="Z46" s="777" t="s">
        <v>2131</v>
      </c>
      <c r="AA46" s="777" t="s">
        <v>2132</v>
      </c>
      <c r="AB46" s="777" t="s">
        <v>2132</v>
      </c>
      <c r="AC46" s="777" t="s">
        <v>2132</v>
      </c>
      <c r="AD46" s="777"/>
    </row>
    <row r="47" spans="1:30" ht="54" customHeight="1">
      <c r="A47" s="776"/>
      <c r="B47" s="829">
        <v>30</v>
      </c>
      <c r="C47" s="774" t="s">
        <v>2133</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2134</v>
      </c>
      <c r="P47" s="887" t="s">
        <v>2111</v>
      </c>
      <c r="Q47" s="887" t="s">
        <v>2134</v>
      </c>
      <c r="R47" s="887" t="s">
        <v>2111</v>
      </c>
      <c r="S47" s="887"/>
      <c r="T47" s="774" t="s">
        <v>2135</v>
      </c>
      <c r="U47" s="774" t="s">
        <v>2135</v>
      </c>
      <c r="V47" s="774" t="s">
        <v>2135</v>
      </c>
      <c r="W47" s="774" t="s">
        <v>2135</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2118</v>
      </c>
      <c r="Q48" s="887" t="s">
        <v>2136</v>
      </c>
      <c r="R48" s="887" t="s">
        <v>2118</v>
      </c>
      <c r="S48" s="887"/>
      <c r="T48" s="774"/>
      <c r="U48" s="774" t="s">
        <v>2137</v>
      </c>
      <c r="V48" s="774" t="s">
        <v>2138</v>
      </c>
      <c r="W48" s="774" t="s">
        <v>2138</v>
      </c>
      <c r="X48" s="774"/>
      <c r="Y48" s="930"/>
      <c r="Z48" s="777"/>
      <c r="AA48" s="780" t="s">
        <v>2132</v>
      </c>
      <c r="AB48" s="780" t="s">
        <v>2132</v>
      </c>
      <c r="AC48" s="780" t="s">
        <v>2132</v>
      </c>
      <c r="AD48" s="777"/>
    </row>
    <row r="49" spans="1:30" ht="54" customHeight="1">
      <c r="A49" s="776"/>
      <c r="B49" s="829">
        <v>32</v>
      </c>
      <c r="C49" s="774" t="s">
        <v>2139</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2122</v>
      </c>
      <c r="Q49" s="887" t="s">
        <v>2140</v>
      </c>
      <c r="R49" s="887" t="s">
        <v>2122</v>
      </c>
      <c r="S49" s="887"/>
      <c r="T49" s="774"/>
      <c r="U49" s="774" t="s">
        <v>2135</v>
      </c>
      <c r="V49" s="774" t="s">
        <v>2135</v>
      </c>
      <c r="W49" s="774" t="s">
        <v>2135</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2136</v>
      </c>
      <c r="P50" s="887" t="s">
        <v>2129</v>
      </c>
      <c r="Q50" s="887" t="s">
        <v>2141</v>
      </c>
      <c r="R50" s="887" t="s">
        <v>2129</v>
      </c>
      <c r="S50" s="887"/>
      <c r="T50" s="774" t="s">
        <v>2142</v>
      </c>
      <c r="U50" s="774" t="s">
        <v>2143</v>
      </c>
      <c r="V50" s="774" t="s">
        <v>2144</v>
      </c>
      <c r="W50" s="774" t="s">
        <v>2145</v>
      </c>
      <c r="X50" s="774"/>
      <c r="Y50" s="930"/>
      <c r="Z50" s="777" t="s">
        <v>2146</v>
      </c>
      <c r="AA50" s="780" t="s">
        <v>2147</v>
      </c>
      <c r="AB50" s="780" t="s">
        <v>2147</v>
      </c>
      <c r="AC50" s="780" t="s">
        <v>2147</v>
      </c>
      <c r="AD50" s="777"/>
    </row>
    <row r="51" spans="1:30" ht="27" customHeight="1">
      <c r="A51" s="776"/>
      <c r="B51" s="829">
        <v>34</v>
      </c>
      <c r="C51" s="774" t="s">
        <v>2148</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2149</v>
      </c>
      <c r="U51" s="774"/>
      <c r="V51" s="774"/>
      <c r="W51" s="774"/>
      <c r="X51" s="774"/>
      <c r="Y51" s="930"/>
      <c r="Z51" s="777"/>
      <c r="AA51" s="780"/>
      <c r="AB51" s="780"/>
      <c r="AC51" s="780"/>
      <c r="AD51" s="777"/>
    </row>
    <row r="52" spans="1:30" ht="36" customHeight="1">
      <c r="A52" s="776"/>
      <c r="B52" s="829">
        <v>35</v>
      </c>
      <c r="C52" s="774" t="s">
        <v>2042</v>
      </c>
      <c r="D52" s="897" t="s">
        <v>2042</v>
      </c>
      <c r="E52" s="774" t="s">
        <v>2042</v>
      </c>
      <c r="F52" s="774" t="s">
        <v>2042</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2150</v>
      </c>
      <c r="U52" s="774" t="s">
        <v>2151</v>
      </c>
      <c r="V52" s="774" t="s">
        <v>2152</v>
      </c>
      <c r="W52" s="774" t="s">
        <v>2153</v>
      </c>
      <c r="X52" s="774"/>
      <c r="Y52" s="930"/>
      <c r="Z52" s="777" t="s">
        <v>762</v>
      </c>
      <c r="AA52" s="780" t="s">
        <v>762</v>
      </c>
      <c r="AB52" s="780" t="s">
        <v>762</v>
      </c>
      <c r="AC52" s="780" t="s">
        <v>762</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766</v>
      </c>
      <c r="P53" s="887" t="s">
        <v>330</v>
      </c>
      <c r="Q53" s="887" t="s">
        <v>330</v>
      </c>
      <c r="R53" s="887" t="s">
        <v>330</v>
      </c>
      <c r="S53" s="887"/>
      <c r="T53" s="774" t="s">
        <v>2154</v>
      </c>
      <c r="U53" s="774" t="s">
        <v>2154</v>
      </c>
      <c r="V53" s="774" t="s">
        <v>2154</v>
      </c>
      <c r="W53" s="774" t="s">
        <v>2154</v>
      </c>
      <c r="X53" s="774"/>
      <c r="Y53" s="930"/>
      <c r="Z53" s="777"/>
      <c r="AA53" s="780"/>
      <c r="AB53" s="777"/>
      <c r="AC53" s="777"/>
      <c r="AD53" s="777"/>
    </row>
    <row r="54" spans="1:30" ht="18" customHeight="1">
      <c r="A54" s="776"/>
      <c r="B54" s="829">
        <v>37</v>
      </c>
      <c r="C54" s="774" t="s">
        <v>2048</v>
      </c>
      <c r="D54" s="897" t="s">
        <v>2048</v>
      </c>
      <c r="E54" s="774" t="s">
        <v>2048</v>
      </c>
      <c r="F54" s="774" t="s">
        <v>2048</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91</v>
      </c>
      <c r="Q54" s="887" t="s">
        <v>91</v>
      </c>
      <c r="R54" s="887" t="s">
        <v>91</v>
      </c>
      <c r="S54" s="887"/>
      <c r="T54" s="774" t="s">
        <v>764</v>
      </c>
      <c r="U54" s="774" t="s">
        <v>764</v>
      </c>
      <c r="V54" s="774" t="s">
        <v>764</v>
      </c>
      <c r="W54" s="774" t="s">
        <v>764</v>
      </c>
      <c r="X54" s="774"/>
      <c r="Y54" s="930"/>
      <c r="Z54" s="777" t="s">
        <v>765</v>
      </c>
      <c r="AA54" s="777" t="s">
        <v>765</v>
      </c>
      <c r="AB54" s="777" t="s">
        <v>765</v>
      </c>
      <c r="AC54" s="777" t="s">
        <v>765</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766</v>
      </c>
      <c r="Q55" s="887" t="s">
        <v>766</v>
      </c>
      <c r="R55" s="887" t="s">
        <v>766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2155</v>
      </c>
      <c r="V55" s="774" t="s">
        <v>2155</v>
      </c>
      <c r="W55" s="774" t="s">
        <v>2155</v>
      </c>
      <c r="X55" s="774"/>
      <c r="Y55" s="930"/>
      <c r="Z55" s="777" t="s">
        <v>2156</v>
      </c>
      <c r="AA55" s="777" t="s">
        <v>2156</v>
      </c>
      <c r="AB55" s="777" t="s">
        <v>2156</v>
      </c>
      <c r="AC55" s="777" t="s">
        <v>2156</v>
      </c>
      <c r="AD55" s="777"/>
    </row>
    <row r="56" spans="1:30" ht="27" customHeight="1">
      <c r="A56" s="776"/>
      <c r="B56" s="829">
        <v>39</v>
      </c>
      <c r="C56" s="774" t="s">
        <v>1034</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1151</v>
      </c>
      <c r="P56" s="887" t="s">
        <v>769</v>
      </c>
      <c r="Q56" s="887" t="s">
        <v>769</v>
      </c>
      <c r="R56" s="887" t="s">
        <v>769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2157</v>
      </c>
      <c r="V56" s="774" t="s">
        <v>2157</v>
      </c>
      <c r="W56" s="774" t="s">
        <v>2157</v>
      </c>
      <c r="X56" s="774"/>
      <c r="Y56" s="930"/>
      <c r="Z56" s="777" t="s">
        <v>771</v>
      </c>
      <c r="AA56" s="777" t="s">
        <v>771</v>
      </c>
      <c r="AB56" s="777" t="s">
        <v>771</v>
      </c>
      <c r="AC56" s="777" t="s">
        <v>771</v>
      </c>
      <c r="AD56" s="777"/>
    </row>
    <row r="57" spans="1:30" ht="27" customHeight="1">
      <c r="A57" s="776"/>
      <c r="B57" s="829">
        <v>40</v>
      </c>
      <c r="C57" s="774" t="s">
        <v>1036</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2158</v>
      </c>
      <c r="P57" s="887" t="s">
        <v>772</v>
      </c>
      <c r="Q57" s="887" t="s">
        <v>772</v>
      </c>
      <c r="R57" s="887" t="s">
        <v>772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2159</v>
      </c>
      <c r="V57" s="774" t="s">
        <v>2159</v>
      </c>
      <c r="W57" s="774" t="s">
        <v>2159</v>
      </c>
      <c r="X57" s="774"/>
      <c r="Y57" s="930"/>
      <c r="Z57" s="777" t="s">
        <v>774</v>
      </c>
      <c r="AA57" s="777" t="s">
        <v>774</v>
      </c>
      <c r="AB57" s="777" t="s">
        <v>774</v>
      </c>
      <c r="AC57" s="777" t="s">
        <v>774</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894</v>
      </c>
      <c r="P58" s="887" t="s">
        <v>808</v>
      </c>
      <c r="Q58" s="887" t="s">
        <v>808</v>
      </c>
      <c r="R58" s="887" t="s">
        <v>808</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2160</v>
      </c>
      <c r="V58" s="774" t="s">
        <v>2160</v>
      </c>
      <c r="W58" s="774" t="s">
        <v>2160</v>
      </c>
      <c r="X58" s="774"/>
      <c r="Y58" s="930"/>
      <c r="Z58" s="777"/>
      <c r="AA58" s="780"/>
      <c r="AB58" s="777"/>
      <c r="AC58" s="777"/>
      <c r="AD58" s="777"/>
    </row>
    <row r="59" spans="1:30" ht="36" customHeight="1">
      <c r="A59" s="776"/>
      <c r="B59" s="829">
        <v>42</v>
      </c>
      <c r="C59" s="774">
        <v>3</v>
      </c>
      <c r="D59" s="897" t="s">
        <v>2148</v>
      </c>
      <c r="E59" s="774" t="s">
        <v>2148</v>
      </c>
      <c r="F59" s="774" t="s">
        <v>2148</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2161</v>
      </c>
      <c r="V59" s="774" t="s">
        <v>2162</v>
      </c>
      <c r="W59" s="774" t="s">
        <v>2163</v>
      </c>
      <c r="X59" s="774"/>
      <c r="Y59" s="930"/>
      <c r="Z59" s="777"/>
      <c r="AA59" s="780"/>
      <c r="AB59" s="777"/>
      <c r="AC59" s="777"/>
      <c r="AD59" s="777"/>
    </row>
    <row r="60" spans="1:30" ht="81" customHeight="1">
      <c r="A60" s="776"/>
      <c r="B60" s="829">
        <v>43</v>
      </c>
      <c r="C60" s="774" t="s">
        <v>2164</v>
      </c>
      <c r="D60" s="897" t="s">
        <v>2164</v>
      </c>
      <c r="E60" s="774" t="s">
        <v>2164</v>
      </c>
      <c r="F60" s="774" t="s">
        <v>2164</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642</v>
      </c>
      <c r="U60" s="774" t="s">
        <v>642</v>
      </c>
      <c r="V60" s="774" t="s">
        <v>642</v>
      </c>
      <c r="W60" s="774" t="s">
        <v>642</v>
      </c>
      <c r="X60" s="774"/>
      <c r="Y60" s="930"/>
      <c r="Z60" s="777" t="s">
        <v>2165</v>
      </c>
      <c r="AA60" s="780" t="s">
        <v>2166</v>
      </c>
      <c r="AB60" s="777" t="s">
        <v>2167</v>
      </c>
      <c r="AC60" s="777" t="s">
        <v>2166</v>
      </c>
      <c r="AD60" s="777"/>
    </row>
    <row r="61" spans="1:30" ht="9" customHeight="1">
      <c r="A61" s="776"/>
      <c r="B61" s="829">
        <v>44</v>
      </c>
      <c r="C61" s="774"/>
      <c r="D61" s="897" t="s">
        <v>2168</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2169</v>
      </c>
      <c r="V61" s="774"/>
      <c r="W61" s="774"/>
      <c r="X61" s="774"/>
      <c r="Y61" s="930"/>
      <c r="Z61" s="777"/>
      <c r="AA61" s="780"/>
      <c r="AB61" s="777"/>
      <c r="AC61" s="777"/>
      <c r="AD61" s="777"/>
    </row>
    <row r="62" spans="1:30" ht="9" customHeight="1">
      <c r="A62" s="776"/>
      <c r="B62" s="829">
        <v>45</v>
      </c>
      <c r="C62" s="774"/>
      <c r="D62" s="897" t="s">
        <v>2170</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2171</v>
      </c>
      <c r="V62" s="774"/>
      <c r="W62" s="774"/>
      <c r="X62" s="774"/>
      <c r="Y62" s="930"/>
      <c r="Z62" s="777"/>
      <c r="AA62" s="780"/>
      <c r="AB62" s="777"/>
      <c r="AC62" s="777"/>
      <c r="AD62" s="777"/>
    </row>
    <row r="63" spans="1:30" ht="18" customHeight="1">
      <c r="A63" s="776"/>
      <c r="B63" s="829">
        <v>46</v>
      </c>
      <c r="C63" s="774"/>
      <c r="D63" s="897" t="s">
        <v>2172</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2173</v>
      </c>
      <c r="V63" s="774"/>
      <c r="W63" s="774"/>
      <c r="X63" s="774"/>
      <c r="Y63" s="930"/>
      <c r="Z63" s="777"/>
      <c r="AA63" s="780"/>
      <c r="AB63" s="777"/>
      <c r="AC63" s="777"/>
      <c r="AD63" s="777"/>
    </row>
    <row r="64" spans="1:30" ht="18" customHeight="1">
      <c r="A64" s="776"/>
      <c r="B64" s="829">
        <v>47</v>
      </c>
      <c r="C64" s="774"/>
      <c r="D64" s="897" t="s">
        <v>2174</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2175</v>
      </c>
      <c r="V64" s="774"/>
      <c r="W64" s="774"/>
      <c r="X64" s="774"/>
      <c r="Y64" s="930"/>
      <c r="Z64" s="777"/>
      <c r="AA64" s="780" t="s">
        <v>2176</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2089</v>
      </c>
      <c r="Q65" s="887"/>
      <c r="R65" s="887"/>
      <c r="S65" s="887"/>
      <c r="T65" s="774"/>
      <c r="U65" s="774" t="s">
        <v>2177</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2093</v>
      </c>
      <c r="Q66" s="887"/>
      <c r="R66" s="887"/>
      <c r="S66" s="887"/>
      <c r="T66" s="774"/>
      <c r="U66" s="774" t="s">
        <v>2178</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2179</v>
      </c>
      <c r="Q67" s="887"/>
      <c r="R67" s="887"/>
      <c r="S67" s="887"/>
      <c r="T67" s="774"/>
      <c r="U67" s="774" t="s">
        <v>2180</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2181</v>
      </c>
      <c r="Q68" s="887"/>
      <c r="R68" s="887"/>
      <c r="S68" s="887"/>
      <c r="T68" s="774"/>
      <c r="U68" s="774" t="s">
        <v>2182</v>
      </c>
      <c r="V68" s="774"/>
      <c r="W68" s="774"/>
      <c r="X68" s="774"/>
      <c r="Y68" s="930"/>
      <c r="Z68" s="777"/>
      <c r="AA68" s="780"/>
      <c r="AB68" s="777"/>
      <c r="AC68" s="777"/>
      <c r="AD68" s="777"/>
    </row>
    <row r="69" spans="1:30" ht="9" customHeight="1">
      <c r="A69" s="776"/>
      <c r="B69" s="829">
        <v>52</v>
      </c>
      <c r="C69" s="774"/>
      <c r="D69" s="897" t="s">
        <v>2183</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2184</v>
      </c>
      <c r="V69" s="774"/>
      <c r="W69" s="774"/>
      <c r="X69" s="774"/>
      <c r="Y69" s="930"/>
      <c r="Z69" s="777"/>
      <c r="AA69" s="780"/>
      <c r="AB69" s="777"/>
      <c r="AC69" s="777"/>
      <c r="AD69" s="777"/>
    </row>
    <row r="70" spans="1:30" ht="27" customHeight="1">
      <c r="A70" s="776"/>
      <c r="B70" s="829">
        <v>53</v>
      </c>
      <c r="C70" s="774"/>
      <c r="D70" s="897"/>
      <c r="E70" s="774" t="s">
        <v>2168</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2185</v>
      </c>
      <c r="W70" s="774"/>
      <c r="X70" s="774"/>
      <c r="Y70" s="930"/>
      <c r="Z70" s="777"/>
      <c r="AA70" s="780"/>
      <c r="AB70" s="777"/>
      <c r="AC70" s="777"/>
      <c r="AD70" s="777"/>
    </row>
    <row r="71" spans="1:30" ht="36" customHeight="1">
      <c r="A71" s="776"/>
      <c r="B71" s="829">
        <v>54</v>
      </c>
      <c r="C71" s="774"/>
      <c r="D71" s="897"/>
      <c r="E71" s="774" t="s">
        <v>2170</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2186</v>
      </c>
      <c r="W71" s="774"/>
      <c r="X71" s="774"/>
      <c r="Y71" s="930"/>
      <c r="Z71" s="777"/>
      <c r="AA71" s="780"/>
      <c r="AB71" s="777"/>
      <c r="AC71" s="777"/>
      <c r="AD71" s="777"/>
    </row>
    <row r="72" spans="1:30" ht="27" customHeight="1">
      <c r="A72" s="776"/>
      <c r="B72" s="829">
        <v>55</v>
      </c>
      <c r="C72" s="774"/>
      <c r="D72" s="897"/>
      <c r="E72" s="774" t="s">
        <v>2172</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2187</v>
      </c>
      <c r="W72" s="774"/>
      <c r="X72" s="774"/>
      <c r="Y72" s="930"/>
      <c r="Z72" s="777"/>
      <c r="AA72" s="780"/>
      <c r="AB72" s="777"/>
      <c r="AC72" s="777"/>
      <c r="AD72" s="777"/>
    </row>
    <row r="73" spans="1:30" ht="36" customHeight="1">
      <c r="A73" s="776"/>
      <c r="B73" s="829">
        <v>56</v>
      </c>
      <c r="C73" s="774"/>
      <c r="D73" s="897"/>
      <c r="E73" s="774" t="s">
        <v>2174</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2188</v>
      </c>
      <c r="W73" s="774"/>
      <c r="X73" s="774"/>
      <c r="Y73" s="930"/>
      <c r="Z73" s="777"/>
      <c r="AA73" s="780"/>
      <c r="AB73" s="777"/>
      <c r="AC73" s="777"/>
      <c r="AD73" s="777"/>
    </row>
    <row r="74" spans="1:30" ht="18" customHeight="1">
      <c r="A74" s="776"/>
      <c r="B74" s="829">
        <v>57</v>
      </c>
      <c r="C74" s="774"/>
      <c r="D74" s="897"/>
      <c r="E74" s="774" t="s">
        <v>2183</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2189</v>
      </c>
      <c r="W74" s="774"/>
      <c r="X74" s="774"/>
      <c r="Y74" s="930"/>
      <c r="Z74" s="777"/>
      <c r="AA74" s="780"/>
      <c r="AB74" s="777"/>
      <c r="AC74" s="777"/>
      <c r="AD74" s="777"/>
    </row>
    <row r="75" spans="1:30" ht="18" customHeight="1">
      <c r="A75" s="776"/>
      <c r="B75" s="829">
        <v>58</v>
      </c>
      <c r="C75" s="774"/>
      <c r="D75" s="897"/>
      <c r="E75" s="774"/>
      <c r="F75" s="774" t="s">
        <v>2168</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2190</v>
      </c>
      <c r="X75" s="774"/>
      <c r="Y75" s="930"/>
      <c r="Z75" s="777"/>
      <c r="AA75" s="780"/>
      <c r="AB75" s="777"/>
      <c r="AC75" s="777"/>
      <c r="AD75" s="777"/>
    </row>
    <row r="76" spans="1:30" ht="36" customHeight="1">
      <c r="A76" s="776"/>
      <c r="B76" s="829">
        <v>59</v>
      </c>
      <c r="C76" s="774"/>
      <c r="D76" s="897"/>
      <c r="E76" s="774"/>
      <c r="F76" s="774" t="s">
        <v>2170</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2191</v>
      </c>
      <c r="X76" s="774"/>
      <c r="Y76" s="930"/>
      <c r="Z76" s="777"/>
      <c r="AA76" s="780"/>
      <c r="AB76" s="777"/>
      <c r="AC76" s="777"/>
      <c r="AD76" s="777"/>
    </row>
    <row r="77" spans="1:30" ht="18" customHeight="1">
      <c r="A77" s="776"/>
      <c r="B77" s="829">
        <v>60</v>
      </c>
      <c r="C77" s="774"/>
      <c r="D77" s="897"/>
      <c r="E77" s="774"/>
      <c r="F77" s="774" t="s">
        <v>2172</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2192</v>
      </c>
      <c r="X77" s="774"/>
      <c r="Y77" s="930"/>
      <c r="Z77" s="777"/>
      <c r="AA77" s="780"/>
      <c r="AB77" s="777"/>
      <c r="AC77" s="777"/>
      <c r="AD77" s="777"/>
    </row>
    <row r="78" spans="1:30" ht="72" customHeight="1">
      <c r="A78" s="776"/>
      <c r="B78" s="829">
        <v>61</v>
      </c>
      <c r="C78" s="774" t="s">
        <v>2168</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647</v>
      </c>
      <c r="U78" s="774"/>
      <c r="V78" s="774"/>
      <c r="W78" s="774"/>
      <c r="X78" s="774"/>
      <c r="Y78" s="930"/>
      <c r="Z78" s="777" t="s">
        <v>2193</v>
      </c>
      <c r="AA78" s="780"/>
      <c r="AB78" s="777"/>
      <c r="AC78" s="777"/>
      <c r="AD78" s="777"/>
    </row>
    <row r="79" spans="1:30" ht="36" customHeight="1">
      <c r="A79" s="776"/>
      <c r="B79" s="829">
        <v>62</v>
      </c>
      <c r="C79" s="774" t="s">
        <v>2170</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2194</v>
      </c>
      <c r="U79" s="774"/>
      <c r="V79" s="774"/>
      <c r="W79" s="774"/>
      <c r="X79" s="774"/>
      <c r="Y79" s="930"/>
      <c r="Z79" s="777" t="s">
        <v>2195</v>
      </c>
      <c r="AA79" s="780"/>
      <c r="AB79" s="777"/>
      <c r="AC79" s="777"/>
      <c r="AD79" s="777"/>
    </row>
    <row r="80" spans="1:30" ht="45" customHeight="1">
      <c r="A80" s="776"/>
      <c r="B80" s="829">
        <v>63</v>
      </c>
      <c r="C80" s="774" t="s">
        <v>2172</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2196</v>
      </c>
      <c r="U80" s="774"/>
      <c r="V80" s="774"/>
      <c r="W80" s="774"/>
      <c r="X80" s="774"/>
      <c r="Y80" s="930"/>
      <c r="Z80" s="777" t="s">
        <v>2197</v>
      </c>
      <c r="AA80" s="780"/>
      <c r="AB80" s="777"/>
      <c r="AC80" s="777"/>
      <c r="AD80" s="777"/>
    </row>
    <row r="81" spans="1:30" ht="36" customHeight="1">
      <c r="A81" s="776"/>
      <c r="B81" s="829">
        <v>64</v>
      </c>
      <c r="C81" s="774" t="s">
        <v>2174</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2080</v>
      </c>
      <c r="P81" s="887"/>
      <c r="Q81" s="887"/>
      <c r="R81" s="887"/>
      <c r="S81" s="887"/>
      <c r="T81" s="774" t="s">
        <v>2198</v>
      </c>
      <c r="U81" s="774"/>
      <c r="V81" s="774"/>
      <c r="W81" s="774"/>
      <c r="X81" s="774"/>
      <c r="Y81" s="930"/>
      <c r="Z81" s="777" t="s">
        <v>2199</v>
      </c>
      <c r="AA81" s="780"/>
      <c r="AB81" s="777"/>
      <c r="AC81" s="777"/>
      <c r="AD81" s="777"/>
    </row>
    <row r="82" spans="1:30" ht="90" customHeight="1">
      <c r="A82" s="776"/>
      <c r="B82" s="829">
        <v>65</v>
      </c>
      <c r="C82" s="774" t="s">
        <v>2183</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2200</v>
      </c>
      <c r="U82" s="774"/>
      <c r="V82" s="774"/>
      <c r="W82" s="774"/>
      <c r="X82" s="774"/>
      <c r="Y82" s="930"/>
      <c r="Z82" s="777" t="s">
        <v>2201</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2089</v>
      </c>
      <c r="P83" s="887"/>
      <c r="Q83" s="887"/>
      <c r="R83" s="887"/>
      <c r="S83" s="887"/>
      <c r="T83" s="774" t="s">
        <v>2202</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2203</v>
      </c>
      <c r="P84" s="887"/>
      <c r="Q84" s="887"/>
      <c r="R84" s="887"/>
      <c r="S84" s="887"/>
      <c r="T84" s="774" t="s">
        <v>2204</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2093</v>
      </c>
      <c r="P85" s="887"/>
      <c r="Q85" s="887"/>
      <c r="R85" s="887"/>
      <c r="S85" s="887"/>
      <c r="T85" s="774" t="s">
        <v>2205</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2206</v>
      </c>
      <c r="P86" s="887"/>
      <c r="Q86" s="887"/>
      <c r="R86" s="887"/>
      <c r="S86" s="887"/>
      <c r="T86" s="774" t="s">
        <v>2207</v>
      </c>
      <c r="U86" s="774"/>
      <c r="V86" s="774"/>
      <c r="W86" s="774"/>
      <c r="X86" s="774"/>
      <c r="Y86" s="930"/>
      <c r="Z86" s="777"/>
      <c r="AA86" s="780"/>
      <c r="AB86" s="777"/>
      <c r="AC86" s="777"/>
      <c r="AD86" s="777"/>
    </row>
    <row r="87" spans="1:30" ht="36" customHeight="1">
      <c r="A87" s="776"/>
      <c r="B87" s="829">
        <v>70</v>
      </c>
      <c r="C87" s="774" t="s">
        <v>2208</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2209</v>
      </c>
      <c r="U87" s="774"/>
      <c r="V87" s="774"/>
      <c r="W87" s="774"/>
      <c r="X87" s="774"/>
      <c r="Y87" s="930"/>
      <c r="Z87" s="777"/>
      <c r="AA87" s="780"/>
      <c r="AB87" s="777"/>
      <c r="AC87" s="777"/>
      <c r="AD87" s="777"/>
    </row>
    <row r="88" spans="1:30" ht="18" customHeight="1">
      <c r="A88" s="776"/>
      <c r="B88" s="829">
        <v>71</v>
      </c>
      <c r="C88" s="774" t="s">
        <v>2210</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679</v>
      </c>
      <c r="U88" s="774"/>
      <c r="V88" s="774"/>
      <c r="W88" s="774"/>
      <c r="X88" s="774"/>
      <c r="Y88" s="930"/>
      <c r="Z88" s="777"/>
      <c r="AA88" s="780"/>
      <c r="AB88" s="777"/>
      <c r="AC88" s="777"/>
      <c r="AD88" s="777"/>
    </row>
    <row r="89" spans="1:30" ht="18" customHeight="1">
      <c r="A89" s="776"/>
      <c r="B89" s="829">
        <v>72</v>
      </c>
      <c r="C89" s="774" t="s">
        <v>2211</v>
      </c>
      <c r="D89" s="897" t="s">
        <v>2208</v>
      </c>
      <c r="E89" s="774" t="s">
        <v>2208</v>
      </c>
      <c r="F89" s="774" t="s">
        <v>2174</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687</v>
      </c>
      <c r="U89" s="774" t="s">
        <v>687</v>
      </c>
      <c r="V89" s="774" t="s">
        <v>687</v>
      </c>
      <c r="W89" s="774" t="s">
        <v>687</v>
      </c>
      <c r="X89" s="774"/>
      <c r="Y89" s="930"/>
      <c r="Z89" s="777"/>
      <c r="AA89" s="780"/>
      <c r="AB89" s="777"/>
      <c r="AC89" s="777"/>
      <c r="AD89" s="777"/>
    </row>
    <row r="90" spans="1:30" ht="27" customHeight="1">
      <c r="A90" s="776"/>
      <c r="B90" s="829">
        <v>73</v>
      </c>
      <c r="C90" s="774" t="s">
        <v>2212</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689</v>
      </c>
      <c r="U90" s="774"/>
      <c r="V90" s="774"/>
      <c r="W90" s="774"/>
      <c r="X90" s="774"/>
      <c r="Y90" s="930"/>
      <c r="Z90" s="777"/>
      <c r="AA90" s="780"/>
      <c r="AB90" s="777"/>
      <c r="AC90" s="777"/>
      <c r="AD90" s="777"/>
    </row>
    <row r="91" spans="1:30" ht="18" customHeight="1">
      <c r="A91" s="776"/>
      <c r="B91" s="829">
        <v>74</v>
      </c>
      <c r="C91" s="774"/>
      <c r="D91" s="897" t="s">
        <v>2210</v>
      </c>
      <c r="E91" s="774" t="s">
        <v>2210</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2213</v>
      </c>
      <c r="V91" s="774" t="s">
        <v>2213</v>
      </c>
      <c r="W91" s="774"/>
      <c r="X91" s="774"/>
      <c r="Y91" s="930"/>
      <c r="Z91" s="777"/>
      <c r="AA91" s="780"/>
      <c r="AB91" s="777"/>
      <c r="AC91" s="777"/>
      <c r="AD91" s="777"/>
    </row>
    <row r="92" spans="1:30" ht="27" customHeight="1">
      <c r="A92" s="776"/>
      <c r="B92" s="829">
        <v>75</v>
      </c>
      <c r="C92" s="774"/>
      <c r="D92" s="897" t="s">
        <v>2211</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2214</v>
      </c>
      <c r="V92" s="774"/>
      <c r="W92" s="774"/>
      <c r="X92" s="774"/>
      <c r="Y92" s="930"/>
      <c r="Z92" s="777"/>
      <c r="AA92" s="780" t="s">
        <v>2215</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2121</v>
      </c>
      <c r="Q93" s="887"/>
      <c r="R93" s="887"/>
      <c r="S93" s="887"/>
      <c r="T93" s="774"/>
      <c r="U93" s="774" t="s">
        <v>2216</v>
      </c>
      <c r="V93" s="774"/>
      <c r="W93" s="774"/>
      <c r="X93" s="774"/>
      <c r="Y93" s="930"/>
      <c r="Z93" s="777"/>
      <c r="AA93" s="780" t="s">
        <v>2217</v>
      </c>
      <c r="AB93" s="777"/>
      <c r="AC93" s="777"/>
      <c r="AD93" s="777"/>
    </row>
    <row r="94" spans="1:30" ht="45" customHeight="1">
      <c r="A94" s="776"/>
      <c r="B94" s="829">
        <v>77</v>
      </c>
      <c r="C94" s="774"/>
      <c r="D94" s="897" t="s">
        <v>2212</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1476</v>
      </c>
      <c r="Q94" s="887"/>
      <c r="R94" s="887"/>
      <c r="S94" s="887"/>
      <c r="T94" s="774"/>
      <c r="U94" s="774" t="s">
        <v>2218</v>
      </c>
      <c r="V94" s="774"/>
      <c r="W94" s="774"/>
      <c r="X94" s="774"/>
      <c r="Y94" s="930"/>
      <c r="Z94" s="777"/>
      <c r="AA94" s="780" t="s">
        <v>2219</v>
      </c>
      <c r="AB94" s="777"/>
      <c r="AC94" s="777"/>
      <c r="AD94" s="777"/>
    </row>
    <row r="95" spans="1:30" ht="99" customHeight="1">
      <c r="A95" s="776"/>
      <c r="B95" s="829">
        <v>78</v>
      </c>
      <c r="C95" s="774" t="s">
        <v>2220</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1476</v>
      </c>
      <c r="P95" s="887"/>
      <c r="Q95" s="887"/>
      <c r="R95" s="887"/>
      <c r="S95" s="887"/>
      <c r="T95" s="774" t="s">
        <v>2221</v>
      </c>
      <c r="U95" s="774"/>
      <c r="V95" s="774"/>
      <c r="W95" s="774"/>
      <c r="X95" s="774"/>
      <c r="Y95" s="930"/>
      <c r="Z95" s="777"/>
      <c r="AA95" s="780"/>
      <c r="AB95" s="777"/>
      <c r="AC95" s="777"/>
      <c r="AD95" s="777"/>
    </row>
    <row r="96" spans="1:30" ht="99" customHeight="1">
      <c r="A96" s="776"/>
      <c r="B96" s="829">
        <v>79</v>
      </c>
      <c r="C96" s="774" t="s">
        <v>1160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1482</v>
      </c>
      <c r="P96" s="887"/>
      <c r="Q96" s="887"/>
      <c r="R96" s="887"/>
      <c r="S96" s="887"/>
      <c r="T96" s="774" t="s">
        <v>2222</v>
      </c>
      <c r="U96" s="774"/>
      <c r="V96" s="774"/>
      <c r="W96" s="774"/>
      <c r="X96" s="774"/>
      <c r="Y96" s="930"/>
      <c r="Z96" s="777" t="s">
        <v>2223</v>
      </c>
      <c r="AA96" s="780"/>
      <c r="AB96" s="777"/>
      <c r="AC96" s="777"/>
      <c r="AD96" s="777"/>
    </row>
    <row r="97" spans="1:30" ht="63" customHeight="1">
      <c r="A97" s="776"/>
      <c r="B97" s="829">
        <v>80</v>
      </c>
      <c r="C97" s="774" t="s">
        <v>2224</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1494</v>
      </c>
      <c r="P97" s="887"/>
      <c r="Q97" s="887"/>
      <c r="R97" s="887"/>
      <c r="S97" s="887"/>
      <c r="T97" s="774" t="s">
        <v>2225</v>
      </c>
      <c r="U97" s="774"/>
      <c r="V97" s="774"/>
      <c r="W97" s="774"/>
      <c r="X97" s="774"/>
      <c r="Y97" s="930"/>
      <c r="Z97" s="777" t="s">
        <v>2226</v>
      </c>
      <c r="AA97" s="780"/>
      <c r="AB97" s="777"/>
      <c r="AC97" s="777"/>
      <c r="AD97" s="777"/>
    </row>
    <row r="98" spans="1:30" ht="63" customHeight="1">
      <c r="A98" s="776"/>
      <c r="B98" s="829">
        <v>81</v>
      </c>
      <c r="C98" s="774" t="s">
        <v>2227</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1508</v>
      </c>
      <c r="P98" s="887"/>
      <c r="Q98" s="887"/>
      <c r="R98" s="887"/>
      <c r="S98" s="887"/>
      <c r="T98" s="774" t="s">
        <v>2228</v>
      </c>
      <c r="U98" s="774"/>
      <c r="V98" s="774"/>
      <c r="W98" s="774"/>
      <c r="X98" s="774"/>
      <c r="Y98" s="930"/>
      <c r="Z98" s="777" t="s">
        <v>2226</v>
      </c>
      <c r="AA98" s="780"/>
      <c r="AB98" s="777"/>
      <c r="AC98" s="777"/>
      <c r="AD98" s="777"/>
    </row>
    <row r="99" spans="1:30" ht="90" customHeight="1">
      <c r="A99" s="776"/>
      <c r="B99" s="829">
        <v>82</v>
      </c>
      <c r="C99" s="774" t="s">
        <v>2229</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1520</v>
      </c>
      <c r="P99" s="887"/>
      <c r="Q99" s="887"/>
      <c r="R99" s="887"/>
      <c r="S99" s="887"/>
      <c r="T99" s="774" t="s">
        <v>2230</v>
      </c>
      <c r="U99" s="774"/>
      <c r="V99" s="774"/>
      <c r="W99" s="774"/>
      <c r="X99" s="774"/>
      <c r="Y99" s="930"/>
      <c r="Z99" s="777" t="s">
        <v>644</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2231</v>
      </c>
      <c r="P100" s="887"/>
      <c r="Q100" s="887"/>
      <c r="R100" s="887"/>
      <c r="S100" s="887"/>
      <c r="T100" s="774" t="s">
        <v>2232</v>
      </c>
      <c r="U100" s="774"/>
      <c r="V100" s="774"/>
      <c r="W100" s="774"/>
      <c r="X100" s="774"/>
      <c r="Y100" s="930"/>
      <c r="Z100" s="777" t="s">
        <v>644</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2233</v>
      </c>
      <c r="P101" s="887"/>
      <c r="Q101" s="887"/>
      <c r="R101" s="887"/>
      <c r="S101" s="887"/>
      <c r="T101" s="774" t="s">
        <v>2234</v>
      </c>
      <c r="U101" s="774"/>
      <c r="V101" s="774"/>
      <c r="W101" s="774"/>
      <c r="X101" s="774"/>
      <c r="Y101" s="930"/>
      <c r="Z101" s="777" t="s">
        <v>644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1674</v>
      </c>
      <c r="B148" s="776"/>
      <c r="C148" s="774" t="s">
        <v>2235</v>
      </c>
      <c r="D148" s="774" t="s">
        <v>1576</v>
      </c>
      <c r="E148" s="774" t="s">
        <v>1676</v>
      </c>
      <c r="F148" s="774" t="s">
        <v>2236</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2237</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2238</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9" customWidth="1"/>
    <col min="10" max="11" width="3" style="282" customWidth="1"/>
    <col min="12" max="12" width="12" style="2010"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38" t="s">
        <v>2239</v>
      </c>
      <c r="M5" s="2538"/>
      <c r="N5" s="2538"/>
      <c r="O5" s="2538"/>
      <c r="P5" s="2538"/>
      <c r="Q5" s="2538"/>
      <c r="R5" s="2538"/>
      <c r="S5" s="2538"/>
      <c r="T5" s="2538"/>
      <c r="U5" s="2538"/>
      <c r="V5" s="1170"/>
      <c r="AD5" s="1082">
        <v>64</v>
      </c>
    </row>
    <row r="6" spans="1:30" ht="14.65" customHeight="1">
      <c r="J6" s="313"/>
      <c r="K6" s="313"/>
      <c r="L6" s="2539" t="str">
        <f>IF(org=0,"Не определено",org)</f>
        <v>ООО ПКФ "Энергетик-2001"</v>
      </c>
      <c r="M6" s="2539"/>
      <c r="N6" s="2539"/>
      <c r="O6" s="2539"/>
      <c r="P6" s="2539"/>
      <c r="Q6" s="2539"/>
      <c r="R6" s="2539"/>
      <c r="S6" s="2539"/>
      <c r="T6" s="2539"/>
      <c r="U6" s="2539"/>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44" t="str">
        <f>IF(TITLE_NAME_OR_PR_CHANGE="",IF(TITLE_NAME_OR_PR="","",TITLE_NAME_OR_PR),TITLE_NAME_OR_PR_CHANGE)</f>
        <v/>
      </c>
      <c r="P8" s="2244"/>
      <c r="Q8" s="2244"/>
      <c r="R8" s="2244"/>
      <c r="S8" s="2244"/>
      <c r="T8" s="2244"/>
      <c r="U8" s="2244"/>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44">
        <f>IF(TITLE_DATE_CHANGE_PERIOD="",IF(TITLE_DATE_PR="","",TITLE_DATE_PR),TITLE_DATE_CHANGE_PERIOD)</f>
        <v>45777</v>
      </c>
      <c r="P9" s="2244"/>
      <c r="Q9" s="2244"/>
      <c r="R9" s="2244"/>
      <c r="S9" s="2244"/>
      <c r="T9" s="2244"/>
      <c r="U9" s="2244"/>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44" t="str">
        <f>IF(TITLE_NUMBER_PR_CHANGE="",IF(TITLE_NUMBER_PR="","",TITLE_NUMBER_PR),TITLE_NUMBER_PR_CHANGE)</f>
        <v>466</v>
      </c>
      <c r="P10" s="2244"/>
      <c r="Q10" s="2244"/>
      <c r="R10" s="2244"/>
      <c r="S10" s="2244"/>
      <c r="T10" s="2244"/>
      <c r="U10" s="2244"/>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44" t="str">
        <f>IF(TITLE_IST_PUB_CHANGE="",IF(TITLE_IST_PUB="","",TITLE_IST_PUB),TITLE_IST_PUB_CHANGE)</f>
        <v/>
      </c>
      <c r="P11" s="2244"/>
      <c r="Q11" s="2244"/>
      <c r="R11" s="2244"/>
      <c r="S11" s="2244"/>
      <c r="T11" s="2244"/>
      <c r="U11" s="2244"/>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37"/>
      <c r="M12" s="2537"/>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63"/>
      <c r="P13" s="2263"/>
      <c r="Q13" s="2263"/>
      <c r="R13" s="2263"/>
      <c r="S13" s="2263"/>
      <c r="T13" s="2263"/>
      <c r="U13" s="2263"/>
      <c r="V13" s="2263"/>
      <c r="AD13" s="1082">
        <v>14</v>
      </c>
    </row>
    <row r="14" spans="1:30" ht="14.65" customHeight="1">
      <c r="J14" s="313"/>
      <c r="K14" s="313"/>
      <c r="L14" s="2116" t="s">
        <v>306</v>
      </c>
      <c r="M14" s="2116"/>
      <c r="N14" s="2116"/>
      <c r="O14" s="2116"/>
      <c r="P14" s="2116"/>
      <c r="Q14" s="2116"/>
      <c r="R14" s="2116"/>
      <c r="S14" s="2116"/>
      <c r="T14" s="2116"/>
      <c r="U14" s="2116"/>
      <c r="V14" s="2116"/>
      <c r="W14" s="2116"/>
      <c r="X14" s="2116" t="s">
        <v>307</v>
      </c>
      <c r="AD14" s="1082">
        <v>14</v>
      </c>
    </row>
    <row r="15" spans="1:30" ht="14.65" customHeight="1">
      <c r="J15" s="313"/>
      <c r="K15" s="313"/>
      <c r="L15" s="2264" t="s">
        <v>88</v>
      </c>
      <c r="M15" s="2212" t="s">
        <v>431</v>
      </c>
      <c r="N15" s="239"/>
      <c r="O15" s="2265" t="s">
        <v>2240</v>
      </c>
      <c r="P15" s="2266"/>
      <c r="Q15" s="2266"/>
      <c r="R15" s="2266"/>
      <c r="S15" s="2266"/>
      <c r="T15" s="2266"/>
      <c r="U15" s="2267"/>
      <c r="V15" s="2268" t="s">
        <v>433</v>
      </c>
      <c r="W15" s="2271" t="s">
        <v>1157</v>
      </c>
      <c r="X15" s="2116"/>
      <c r="AD15" s="1082">
        <v>14</v>
      </c>
    </row>
    <row r="16" spans="1:30" ht="35.65" customHeight="1">
      <c r="J16" s="313"/>
      <c r="K16" s="313"/>
      <c r="L16" s="2264"/>
      <c r="M16" s="2212"/>
      <c r="N16" s="961"/>
      <c r="O16" s="2184" t="s">
        <v>436</v>
      </c>
      <c r="P16" s="2184" t="s">
        <v>437</v>
      </c>
      <c r="Q16" s="2098" t="s">
        <v>438</v>
      </c>
      <c r="R16" s="2097"/>
      <c r="S16" s="2098" t="s">
        <v>452</v>
      </c>
      <c r="T16" s="2103"/>
      <c r="U16" s="2097"/>
      <c r="V16" s="2269"/>
      <c r="W16" s="2272"/>
      <c r="X16" s="2116"/>
      <c r="AD16" s="1082">
        <v>34</v>
      </c>
    </row>
    <row r="17" spans="1:30" ht="35.65" customHeight="1">
      <c r="A17" s="1297" t="s">
        <v>135</v>
      </c>
      <c r="B17" s="1297" t="s">
        <v>136</v>
      </c>
      <c r="C17" s="1297" t="s">
        <v>137</v>
      </c>
      <c r="D17" s="1297" t="s">
        <v>138</v>
      </c>
      <c r="E17" s="1297"/>
      <c r="J17" s="313"/>
      <c r="K17" s="313"/>
      <c r="L17" s="2264"/>
      <c r="M17" s="2212"/>
      <c r="N17" s="240"/>
      <c r="O17" s="2237"/>
      <c r="P17" s="2237"/>
      <c r="Q17" s="1149" t="s">
        <v>447</v>
      </c>
      <c r="R17" s="1149" t="s">
        <v>448</v>
      </c>
      <c r="S17" s="1219" t="s">
        <v>449</v>
      </c>
      <c r="T17" s="2217" t="s">
        <v>450</v>
      </c>
      <c r="U17" s="2231"/>
      <c r="V17" s="2270"/>
      <c r="W17" s="2273"/>
      <c r="X17" s="2116"/>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62">
        <f ca="1">OFFSET(T18,0,-1)+1</f>
        <v>4</v>
      </c>
      <c r="U18" s="2262"/>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36" t="str">
        <f>INDEX(PT_DIFFERENTIATION_NTAR,MATCH(A19,PT_DIFFERENTIATION_NTAR_ID,0))</f>
        <v/>
      </c>
      <c r="P19" s="2536"/>
      <c r="Q19" s="2536"/>
      <c r="R19" s="2536"/>
      <c r="S19" s="2536"/>
      <c r="T19" s="2536"/>
      <c r="U19" s="2536"/>
      <c r="V19" s="2536"/>
      <c r="W19" s="2536"/>
      <c r="X19" s="1185" t="s">
        <v>402</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403</v>
      </c>
      <c r="N20" s="238"/>
      <c r="O20" s="2536" t="str">
        <f>INDEX(PT_DIFFERENTIATION_TER,MATCH(B19,PT_DIFFERENTIATION_TER_ID,0))</f>
        <v/>
      </c>
      <c r="P20" s="2536"/>
      <c r="Q20" s="2536"/>
      <c r="R20" s="2536"/>
      <c r="S20" s="2536"/>
      <c r="T20" s="2536"/>
      <c r="U20" s="2536"/>
      <c r="V20" s="2536"/>
      <c r="W20" s="2536"/>
      <c r="X20" s="1185" t="s">
        <v>404</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405</v>
      </c>
      <c r="N21" s="238"/>
      <c r="O21" s="2536" t="str">
        <f>INDEX(PT_DIFFERENTIATION_CS,MATCH(C19,PT_DIFFERENTIATION_CS_ID,0))</f>
        <v/>
      </c>
      <c r="P21" s="2536"/>
      <c r="Q21" s="2536"/>
      <c r="R21" s="2536"/>
      <c r="S21" s="2536"/>
      <c r="T21" s="2536"/>
      <c r="U21" s="2536"/>
      <c r="V21" s="2536"/>
      <c r="W21" s="2536"/>
      <c r="X21" s="1185" t="s">
        <v>406</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407</v>
      </c>
      <c r="N22" s="238"/>
      <c r="O22" s="2536" t="str">
        <f>INDEX(PT_DIFFERENTIATION_IST_TE,MATCH(D19,PT_DIFFERENTIATION_IST_TE_ID,0))</f>
        <v/>
      </c>
      <c r="P22" s="2536"/>
      <c r="Q22" s="2536"/>
      <c r="R22" s="2536"/>
      <c r="S22" s="2536"/>
      <c r="T22" s="2536"/>
      <c r="U22" s="2536"/>
      <c r="V22" s="2536"/>
      <c r="W22" s="2536"/>
      <c r="X22" s="1185" t="s">
        <v>408</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29" t="str">
        <f>L22&amp;".1"</f>
        <v>....1</v>
      </c>
      <c r="I23" s="2255">
        <v>1</v>
      </c>
      <c r="J23" s="1218"/>
      <c r="K23" s="293"/>
      <c r="L23" s="1220" t="str">
        <f>$F$23</f>
        <v>....1</v>
      </c>
      <c r="M23" s="223" t="s">
        <v>410</v>
      </c>
      <c r="N23" s="238"/>
      <c r="O23" s="2294"/>
      <c r="P23" s="2294"/>
      <c r="Q23" s="2294"/>
      <c r="R23" s="2294"/>
      <c r="S23" s="2294"/>
      <c r="T23" s="2294"/>
      <c r="U23" s="2294"/>
      <c r="V23" s="2294"/>
      <c r="W23" s="2294"/>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29"/>
      <c r="G24" s="2229" t="str">
        <f>F23&amp;".1"</f>
        <v>....1.1</v>
      </c>
      <c r="I24" s="2255"/>
      <c r="J24" s="2255">
        <v>1</v>
      </c>
      <c r="K24" s="294"/>
      <c r="L24" s="1220" t="str">
        <f>$G$24</f>
        <v>....1.1</v>
      </c>
      <c r="M24" s="224" t="s">
        <v>413</v>
      </c>
      <c r="N24" s="238"/>
      <c r="O24" s="2239"/>
      <c r="P24" s="2240"/>
      <c r="Q24" s="2240"/>
      <c r="R24" s="2240"/>
      <c r="S24" s="2240"/>
      <c r="T24" s="2240"/>
      <c r="U24" s="2240"/>
      <c r="V24" s="2240"/>
      <c r="W24" s="2241"/>
      <c r="X24" s="1185" t="s">
        <v>414</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29"/>
      <c r="G25" s="2229"/>
      <c r="H25" s="2229" t="str">
        <f>G24&amp;".1"</f>
        <v>....1.1.1</v>
      </c>
      <c r="I25" s="2255"/>
      <c r="J25" s="2255"/>
      <c r="K25" s="294">
        <v>1</v>
      </c>
      <c r="L25" s="1220" t="str">
        <f>$H$25</f>
        <v>....1.1.1</v>
      </c>
      <c r="M25" s="1274"/>
      <c r="N25" s="238"/>
      <c r="O25" s="688"/>
      <c r="P25" s="263"/>
      <c r="Q25" s="688"/>
      <c r="R25" s="1184"/>
      <c r="S25" s="2256"/>
      <c r="T25" s="2126" t="s">
        <v>66</v>
      </c>
      <c r="U25" s="2256"/>
      <c r="V25" s="2126" t="s">
        <v>19</v>
      </c>
      <c r="W25" s="263"/>
      <c r="X25" s="2274" t="s">
        <v>416</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29"/>
      <c r="G26" s="2229"/>
      <c r="H26" s="2229"/>
      <c r="I26" s="2255"/>
      <c r="J26" s="2255"/>
      <c r="K26" s="294"/>
      <c r="L26" s="1221"/>
      <c r="M26" s="238"/>
      <c r="N26" s="238"/>
      <c r="O26" s="263"/>
      <c r="P26" s="263"/>
      <c r="Q26" s="263"/>
      <c r="R26" s="266" t="str">
        <f>S25&amp;"-"&amp;U25</f>
        <v>-</v>
      </c>
      <c r="S26" s="2257"/>
      <c r="T26" s="2126"/>
      <c r="U26" s="2257"/>
      <c r="V26" s="2126"/>
      <c r="W26" s="263"/>
      <c r="X26" s="2275"/>
      <c r="Z26" s="437"/>
      <c r="AA26" s="437" t="str">
        <f t="shared" si="0"/>
        <v/>
      </c>
      <c r="AB26" s="437"/>
      <c r="AC26" s="437"/>
      <c r="AD26" s="1082">
        <v>11</v>
      </c>
    </row>
    <row r="27" spans="1:30" ht="15.75" customHeight="1">
      <c r="A27" s="1290" t="s">
        <v>175</v>
      </c>
      <c r="B27" s="1290" t="s">
        <v>176</v>
      </c>
      <c r="C27" s="1290" t="s">
        <v>177</v>
      </c>
      <c r="D27" s="1290" t="s">
        <v>178</v>
      </c>
      <c r="E27" s="1290"/>
      <c r="F27" s="2229"/>
      <c r="G27" s="2229"/>
      <c r="I27" s="2255"/>
      <c r="J27" s="2255"/>
      <c r="K27" s="293"/>
      <c r="L27" s="1205"/>
      <c r="M27" s="226" t="s">
        <v>417</v>
      </c>
      <c r="N27" s="304"/>
      <c r="O27" s="304"/>
      <c r="P27" s="304"/>
      <c r="Q27" s="304"/>
      <c r="R27" s="304"/>
      <c r="S27" s="304"/>
      <c r="T27" s="304"/>
      <c r="U27" s="304"/>
      <c r="V27" s="304"/>
      <c r="W27" s="262"/>
      <c r="X27" s="2276"/>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29"/>
      <c r="I28" s="2255"/>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2241</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2242</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816</v>
      </c>
      <c r="M35" s="2250" t="s">
        <v>2243</v>
      </c>
      <c r="N35" s="2250"/>
      <c r="O35" s="2250"/>
      <c r="P35" s="2250"/>
      <c r="Q35" s="2250"/>
      <c r="R35" s="2250"/>
      <c r="S35" s="2250"/>
      <c r="T35" s="2250"/>
      <c r="U35" s="2250"/>
      <c r="V35" s="2250"/>
      <c r="W35" s="2250"/>
      <c r="X35" s="2250"/>
      <c r="AD35" s="1082">
        <v>27</v>
      </c>
    </row>
    <row r="36" spans="1:30" ht="109.15" customHeight="1">
      <c r="H36" s="474"/>
      <c r="I36" s="1230"/>
      <c r="M36" s="2250" t="s">
        <v>2244</v>
      </c>
      <c r="N36" s="2250"/>
      <c r="O36" s="2250"/>
      <c r="P36" s="2250"/>
      <c r="Q36" s="2250"/>
      <c r="R36" s="2250"/>
      <c r="S36" s="2250"/>
      <c r="T36" s="2250"/>
      <c r="U36" s="2250"/>
      <c r="V36" s="2250"/>
      <c r="W36" s="2250"/>
      <c r="X36" s="225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6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9"/>
      <c r="F4" s="2170"/>
      <c r="I4" s="652"/>
      <c r="J4" s="392">
        <v>26</v>
      </c>
    </row>
    <row r="5" spans="1:10" ht="18" customHeight="1">
      <c r="D5" s="2204" t="str">
        <f>IF(org=0,"Не определено",org)</f>
        <v>ООО ПКФ "Энергетик-2001"</v>
      </c>
      <c r="E5" s="2204"/>
      <c r="F5" s="2204"/>
      <c r="I5" s="652"/>
      <c r="J5" s="392">
        <v>17</v>
      </c>
    </row>
    <row r="6" spans="1:10" s="414" customFormat="1" ht="11.45" customHeight="1">
      <c r="A6" s="1613"/>
      <c r="B6" s="438"/>
      <c r="D6" s="651"/>
      <c r="E6" s="651"/>
      <c r="F6" s="689"/>
      <c r="G6" s="651"/>
      <c r="J6" s="414">
        <v>11</v>
      </c>
    </row>
    <row r="7" spans="1:10" ht="11.25" hidden="1" customHeight="1">
      <c r="A7" s="394"/>
      <c r="B7" s="439"/>
      <c r="C7" s="394"/>
      <c r="D7" s="400"/>
      <c r="E7" s="2210"/>
      <c r="F7" s="2210"/>
      <c r="J7" s="392">
        <v>0</v>
      </c>
    </row>
    <row r="8" spans="1:10" ht="11.45" customHeight="1">
      <c r="A8" s="394"/>
      <c r="B8" s="439"/>
      <c r="C8" s="394"/>
      <c r="D8" s="2207" t="s">
        <v>306</v>
      </c>
      <c r="E8" s="2208"/>
      <c r="F8" s="2208"/>
      <c r="G8" s="2211" t="s">
        <v>307</v>
      </c>
      <c r="J8" s="392">
        <v>11</v>
      </c>
    </row>
    <row r="9" spans="1:10" ht="11.45" customHeight="1">
      <c r="A9" s="394"/>
      <c r="B9" s="439"/>
      <c r="C9" s="394"/>
      <c r="D9" s="409" t="s">
        <v>88</v>
      </c>
      <c r="E9" s="383" t="s">
        <v>308</v>
      </c>
      <c r="F9" s="383" t="s">
        <v>309</v>
      </c>
      <c r="G9" s="2212"/>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310</v>
      </c>
      <c r="F11" s="941" t="str">
        <f>IF(region_name="","",region_name)</f>
        <v>Пензенская область</v>
      </c>
      <c r="G11" s="942" t="s">
        <v>311</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5835037909</v>
      </c>
      <c r="G14" s="942" t="s">
        <v>315</v>
      </c>
      <c r="H14" s="412"/>
      <c r="J14" s="392">
        <v>0</v>
      </c>
    </row>
    <row r="15" spans="1:10" ht="22.5" hidden="1" customHeight="1">
      <c r="A15" s="394"/>
      <c r="B15" s="439"/>
      <c r="C15" s="394"/>
      <c r="D15" s="939" t="s">
        <v>316</v>
      </c>
      <c r="E15" s="940" t="s">
        <v>317</v>
      </c>
      <c r="F15" s="941" t="str">
        <f>IF(kpp="","",kpp)</f>
        <v>583501001</v>
      </c>
      <c r="G15" s="942" t="s">
        <v>318</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05" t="s">
        <v>319</v>
      </c>
      <c r="B19" s="439"/>
      <c r="C19" s="2216"/>
      <c r="D19" s="382" t="str">
        <f>A19</f>
        <v>5.1</v>
      </c>
      <c r="E19" s="379" t="s">
        <v>320</v>
      </c>
      <c r="F19" s="380" t="s">
        <v>312</v>
      </c>
      <c r="G19" s="381" t="s">
        <v>321</v>
      </c>
      <c r="H19" s="412"/>
      <c r="I19" s="783"/>
      <c r="J19" s="392">
        <v>0</v>
      </c>
    </row>
    <row r="20" spans="1:10" ht="24" hidden="1" customHeight="1">
      <c r="A20" s="2205"/>
      <c r="B20" s="439"/>
      <c r="C20" s="2216"/>
      <c r="D20" s="377" t="str">
        <f>D19&amp;".1"</f>
        <v>5.1.1</v>
      </c>
      <c r="E20" s="376" t="s">
        <v>322</v>
      </c>
      <c r="F20" s="811" t="s">
        <v>28</v>
      </c>
      <c r="G20" s="411"/>
      <c r="H20" s="412"/>
      <c r="I20" s="783"/>
      <c r="J20" s="392">
        <v>0</v>
      </c>
    </row>
    <row r="21" spans="1:10" ht="22.5" hidden="1" customHeight="1">
      <c r="A21" s="2205"/>
      <c r="B21" s="439"/>
      <c r="C21" s="2216"/>
      <c r="D21" s="377" t="str">
        <f>D19&amp;".2"</f>
        <v>5.1.2</v>
      </c>
      <c r="E21" s="376" t="s">
        <v>323</v>
      </c>
      <c r="F21" s="1659" t="s">
        <v>28</v>
      </c>
      <c r="G21" s="381" t="s">
        <v>324</v>
      </c>
      <c r="H21" s="412"/>
      <c r="I21" s="783"/>
      <c r="J21" s="392">
        <v>0</v>
      </c>
    </row>
    <row r="22" spans="1:10" ht="22.5" hidden="1" customHeight="1">
      <c r="A22" s="2205"/>
      <c r="B22" s="439"/>
      <c r="C22" s="2216"/>
      <c r="D22" s="377" t="str">
        <f>D19&amp;".3"</f>
        <v>5.1.3</v>
      </c>
      <c r="E22" s="376" t="s">
        <v>325</v>
      </c>
      <c r="F22" s="811" t="s">
        <v>28</v>
      </c>
      <c r="G22" s="411"/>
      <c r="H22" s="412"/>
      <c r="I22" s="783"/>
      <c r="J22" s="392">
        <v>0</v>
      </c>
    </row>
    <row r="23" spans="1:10" ht="22.5" hidden="1" customHeight="1">
      <c r="A23" s="2205"/>
      <c r="B23" s="439"/>
      <c r="C23" s="2216"/>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90</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14"/>
      <c r="H40" s="412"/>
      <c r="J40" s="392">
        <v>0</v>
      </c>
    </row>
    <row r="41" spans="1:10" ht="23.25" customHeight="1">
      <c r="A41" s="394"/>
      <c r="B41" s="394"/>
      <c r="C41" s="1615"/>
      <c r="D41" s="377" t="str">
        <f>D39&amp;".1"</f>
        <v>9.1</v>
      </c>
      <c r="E41" s="791"/>
      <c r="F41" s="792"/>
      <c r="G41" s="2214"/>
      <c r="H41" s="412"/>
      <c r="J41" s="392">
        <v>22</v>
      </c>
    </row>
    <row r="42" spans="1:10" ht="15.75" customHeight="1">
      <c r="A42" s="394"/>
      <c r="B42" s="439"/>
      <c r="C42" s="394"/>
      <c r="D42" s="404"/>
      <c r="E42" s="352" t="s">
        <v>345</v>
      </c>
      <c r="F42" s="406"/>
      <c r="G42" s="2215"/>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205"/>
      <c r="B47" s="439"/>
      <c r="C47" s="429"/>
      <c r="D47" s="377" t="str">
        <f>D45&amp;".2"</f>
        <v>12.2</v>
      </c>
      <c r="E47" s="379" t="s">
        <v>349</v>
      </c>
      <c r="F47" s="427"/>
      <c r="G47" s="374" t="s">
        <v>350</v>
      </c>
      <c r="H47" s="412"/>
      <c r="J47" s="392">
        <v>23</v>
      </c>
    </row>
    <row r="48" spans="1:10" ht="24" customHeight="1">
      <c r="A48" s="2205"/>
      <c r="B48" s="439"/>
      <c r="C48" s="429"/>
      <c r="D48" s="377" t="str">
        <f>D45&amp;".3"</f>
        <v>12.3</v>
      </c>
      <c r="E48" s="379" t="s">
        <v>351</v>
      </c>
      <c r="F48" s="427"/>
      <c r="G48" s="374" t="s">
        <v>352</v>
      </c>
      <c r="H48" s="412"/>
      <c r="J48" s="392">
        <v>23</v>
      </c>
    </row>
    <row r="49" spans="1:10" ht="24" customHeight="1">
      <c r="A49" s="2205"/>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9"/>
      <c r="F53" s="2209"/>
      <c r="G53" s="2209"/>
      <c r="H53" s="391"/>
      <c r="I53" s="391"/>
      <c r="J53" s="397">
        <v>30</v>
      </c>
    </row>
    <row r="54" spans="1:10" s="397" customFormat="1" ht="42" customHeight="1">
      <c r="A54" s="394"/>
      <c r="B54" s="439"/>
      <c r="C54" s="2206"/>
      <c r="D54"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9"/>
      <c r="F54" s="2209"/>
      <c r="G54" s="220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8" t="s">
        <v>2245</v>
      </c>
      <c r="B1" s="2019" t="s">
        <v>2246</v>
      </c>
      <c r="C1" s="2540" t="s">
        <v>2247</v>
      </c>
      <c r="D1" s="2541"/>
      <c r="E1" s="767" t="s">
        <v>2248</v>
      </c>
    </row>
    <row r="2" spans="1:5" ht="11.25" customHeight="1">
      <c r="A2" s="2020"/>
      <c r="B2" s="700" t="s">
        <v>26</v>
      </c>
      <c r="C2" s="690"/>
      <c r="D2" s="699"/>
      <c r="E2" s="767"/>
    </row>
    <row r="3" spans="1:5" ht="11.25" customHeight="1">
      <c r="A3" s="2021"/>
      <c r="B3" s="2022" t="s">
        <v>33</v>
      </c>
      <c r="C3" s="690"/>
      <c r="D3" s="699"/>
      <c r="E3" s="767"/>
    </row>
    <row r="4" spans="1:5" ht="11.25" customHeight="1">
      <c r="A4" s="2023"/>
      <c r="B4" s="701" t="s">
        <v>1674</v>
      </c>
      <c r="C4" s="690"/>
      <c r="D4" s="699"/>
      <c r="E4" s="767"/>
    </row>
    <row r="5" spans="1:5" ht="11.25" customHeight="1">
      <c r="A5" s="2024"/>
      <c r="B5" s="701" t="s">
        <v>1668</v>
      </c>
      <c r="C5" s="2025" t="s">
        <v>2012</v>
      </c>
      <c r="D5" s="2026" t="s">
        <v>2249</v>
      </c>
      <c r="E5" s="767"/>
    </row>
    <row r="6" spans="1:5" s="1775" customFormat="1" ht="11.25" customHeight="1">
      <c r="A6" s="2027"/>
      <c r="B6" s="701" t="s">
        <v>1678</v>
      </c>
      <c r="C6" s="690"/>
      <c r="D6" s="699"/>
      <c r="E6" s="767"/>
    </row>
    <row r="7" spans="1:5" ht="11.25" customHeight="1">
      <c r="A7" s="2028"/>
      <c r="B7" s="701" t="s">
        <v>1685</v>
      </c>
      <c r="C7" s="690"/>
      <c r="D7" s="699"/>
      <c r="E7" s="767"/>
    </row>
    <row r="8" spans="1:5" ht="11.25" customHeight="1">
      <c r="A8" s="692"/>
      <c r="B8" s="701" t="s">
        <v>1681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7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1775" t="s">
        <v>2259</v>
      </c>
      <c r="B2" s="1775" t="s">
        <v>16</v>
      </c>
      <c r="C2" s="1775" t="s">
        <v>2260</v>
      </c>
      <c r="D2" s="1775" t="s">
        <v>2261</v>
      </c>
      <c r="E2" s="1775" t="s">
        <v>2262</v>
      </c>
      <c r="F2" s="1775" t="s">
        <v>2263</v>
      </c>
      <c r="G2" s="1775" t="s">
        <v>2264</v>
      </c>
      <c r="H2" s="1775" t="s">
        <v>28</v>
      </c>
      <c r="I2" s="1775" t="s">
        <v>820</v>
      </c>
    </row>
    <row r="3" spans="1:9" ht="11.25" customHeight="1">
      <c r="A3" s="1775" t="s">
        <v>2259</v>
      </c>
      <c r="B3" s="1775" t="s">
        <v>16</v>
      </c>
      <c r="C3" s="1775" t="s">
        <v>2265</v>
      </c>
      <c r="D3" s="1775" t="s">
        <v>2261</v>
      </c>
      <c r="E3" s="1775" t="s">
        <v>2262</v>
      </c>
      <c r="F3" s="1775" t="s">
        <v>2266</v>
      </c>
      <c r="G3" s="1775" t="s">
        <v>28</v>
      </c>
      <c r="H3" s="1775" t="s">
        <v>28</v>
      </c>
      <c r="I3" s="1775" t="s">
        <v>820</v>
      </c>
    </row>
    <row r="4" spans="1:9" ht="11.25" customHeight="1">
      <c r="A4" s="1775" t="s">
        <v>2259</v>
      </c>
      <c r="B4" s="1775" t="s">
        <v>16</v>
      </c>
      <c r="C4" s="1775" t="s">
        <v>2267</v>
      </c>
      <c r="D4" s="1775" t="s">
        <v>2268</v>
      </c>
      <c r="E4" s="1775" t="s">
        <v>2269</v>
      </c>
      <c r="F4" s="1775" t="s">
        <v>2270</v>
      </c>
      <c r="G4" s="1775" t="s">
        <v>28</v>
      </c>
      <c r="H4" s="1775" t="s">
        <v>28</v>
      </c>
      <c r="I4" s="1775" t="s">
        <v>820</v>
      </c>
    </row>
    <row r="5" spans="1:9" ht="11.25" customHeight="1">
      <c r="A5" s="1775" t="s">
        <v>2259</v>
      </c>
      <c r="B5" s="1775" t="s">
        <v>16</v>
      </c>
      <c r="C5" s="1775" t="s">
        <v>2271</v>
      </c>
      <c r="D5" s="1775" t="s">
        <v>2272</v>
      </c>
      <c r="E5" s="1775" t="s">
        <v>2273</v>
      </c>
      <c r="F5" s="1775" t="s">
        <v>2270</v>
      </c>
      <c r="G5" s="1775" t="s">
        <v>28</v>
      </c>
      <c r="H5" s="1775" t="s">
        <v>28</v>
      </c>
      <c r="I5" s="1775" t="s">
        <v>820</v>
      </c>
    </row>
    <row r="6" spans="1:9" ht="11.25" customHeight="1">
      <c r="A6" s="1775" t="s">
        <v>2259</v>
      </c>
      <c r="B6" s="1775" t="s">
        <v>16</v>
      </c>
      <c r="C6" s="1775" t="s">
        <v>2274</v>
      </c>
      <c r="D6" s="1775" t="s">
        <v>2275</v>
      </c>
      <c r="E6" s="1775" t="s">
        <v>2276</v>
      </c>
      <c r="F6" s="1775" t="s">
        <v>2277</v>
      </c>
      <c r="G6" s="1775" t="s">
        <v>28</v>
      </c>
      <c r="H6" s="1775" t="s">
        <v>28</v>
      </c>
      <c r="I6" s="1775" t="s">
        <v>820</v>
      </c>
    </row>
    <row r="7" spans="1:9" ht="11.25" customHeight="1">
      <c r="A7" s="1775" t="s">
        <v>2259</v>
      </c>
      <c r="B7" s="1775" t="s">
        <v>16</v>
      </c>
      <c r="C7" s="1775" t="s">
        <v>2278</v>
      </c>
      <c r="D7" s="1775" t="s">
        <v>2279</v>
      </c>
      <c r="E7" s="1775" t="s">
        <v>2280</v>
      </c>
      <c r="F7" s="1775" t="s">
        <v>2281</v>
      </c>
      <c r="G7" s="1775" t="s">
        <v>28</v>
      </c>
      <c r="H7" s="1775" t="s">
        <v>28</v>
      </c>
      <c r="I7" s="1775" t="s">
        <v>820</v>
      </c>
    </row>
    <row r="8" spans="1:9" ht="11.25" customHeight="1">
      <c r="A8" s="1775" t="s">
        <v>2259</v>
      </c>
      <c r="B8" s="1775" t="s">
        <v>16</v>
      </c>
      <c r="C8" s="1775" t="s">
        <v>2282</v>
      </c>
      <c r="D8" s="1775" t="s">
        <v>2283</v>
      </c>
      <c r="E8" s="1775" t="s">
        <v>2284</v>
      </c>
      <c r="F8" s="1775" t="s">
        <v>2285</v>
      </c>
      <c r="G8" s="1775" t="s">
        <v>28</v>
      </c>
      <c r="H8" s="1775" t="s">
        <v>28</v>
      </c>
      <c r="I8" s="1775" t="s">
        <v>820</v>
      </c>
    </row>
    <row r="9" spans="1:9" ht="11.25" customHeight="1">
      <c r="A9" s="1775" t="s">
        <v>2259</v>
      </c>
      <c r="B9" s="1775" t="s">
        <v>16</v>
      </c>
      <c r="C9" s="1775" t="s">
        <v>2286</v>
      </c>
      <c r="D9" s="1775" t="s">
        <v>2287</v>
      </c>
      <c r="E9" s="1775" t="s">
        <v>2288</v>
      </c>
      <c r="F9" s="1775" t="s">
        <v>2289</v>
      </c>
      <c r="G9" s="1775" t="s">
        <v>28</v>
      </c>
      <c r="H9" s="1775" t="s">
        <v>28</v>
      </c>
      <c r="I9" s="1775" t="s">
        <v>820</v>
      </c>
    </row>
    <row r="10" spans="1:9" ht="11.25" customHeight="1">
      <c r="A10" s="1775" t="s">
        <v>2259</v>
      </c>
      <c r="B10" s="1775" t="s">
        <v>16</v>
      </c>
      <c r="C10" s="1775" t="s">
        <v>2290</v>
      </c>
      <c r="D10" s="1775" t="s">
        <v>2291</v>
      </c>
      <c r="E10" s="1775" t="s">
        <v>2276</v>
      </c>
      <c r="F10" s="1775" t="s">
        <v>2292</v>
      </c>
      <c r="G10" s="1775" t="s">
        <v>28</v>
      </c>
      <c r="H10" s="1775" t="s">
        <v>28</v>
      </c>
      <c r="I10" s="1775" t="s">
        <v>820</v>
      </c>
    </row>
    <row r="11" spans="1:9" ht="11.25" customHeight="1">
      <c r="A11" s="1775" t="s">
        <v>2259</v>
      </c>
      <c r="B11" s="1775" t="s">
        <v>16</v>
      </c>
      <c r="C11" s="1775" t="s">
        <v>2293</v>
      </c>
      <c r="D11" s="1775" t="s">
        <v>2294</v>
      </c>
      <c r="E11" s="1775" t="s">
        <v>2295</v>
      </c>
      <c r="F11" s="1775" t="s">
        <v>2296</v>
      </c>
      <c r="G11" s="1775" t="s">
        <v>28</v>
      </c>
      <c r="H11" s="1775" t="s">
        <v>28</v>
      </c>
      <c r="I11" s="1775" t="s">
        <v>820</v>
      </c>
    </row>
    <row r="12" spans="1:9" ht="11.25" customHeight="1">
      <c r="A12" s="1775" t="s">
        <v>2259</v>
      </c>
      <c r="B12" s="1775" t="s">
        <v>16</v>
      </c>
      <c r="C12" s="1775" t="s">
        <v>2297</v>
      </c>
      <c r="D12" s="1775" t="s">
        <v>2298</v>
      </c>
      <c r="E12" s="1775" t="s">
        <v>2299</v>
      </c>
      <c r="F12" s="1775" t="s">
        <v>2296</v>
      </c>
      <c r="G12" s="1775" t="s">
        <v>28</v>
      </c>
      <c r="H12" s="1775" t="s">
        <v>28</v>
      </c>
      <c r="I12" s="1775" t="s">
        <v>820</v>
      </c>
    </row>
    <row r="13" spans="1:9" ht="11.25" customHeight="1">
      <c r="A13" s="1775" t="s">
        <v>2259</v>
      </c>
      <c r="B13" s="1775" t="s">
        <v>16</v>
      </c>
      <c r="C13" s="1775" t="s">
        <v>2300</v>
      </c>
      <c r="D13" s="1775" t="s">
        <v>2301</v>
      </c>
      <c r="E13" s="1775" t="s">
        <v>2302</v>
      </c>
      <c r="F13" s="1775" t="s">
        <v>2296</v>
      </c>
      <c r="G13" s="1775" t="s">
        <v>28</v>
      </c>
      <c r="H13" s="1775" t="s">
        <v>28</v>
      </c>
      <c r="I13" s="1775" t="s">
        <v>820</v>
      </c>
    </row>
    <row r="14" spans="1:9" ht="11.25" customHeight="1">
      <c r="A14" s="1775" t="s">
        <v>2259</v>
      </c>
      <c r="B14" s="1775" t="s">
        <v>16</v>
      </c>
      <c r="C14" s="1775" t="s">
        <v>2303</v>
      </c>
      <c r="D14" s="1775" t="s">
        <v>2304</v>
      </c>
      <c r="E14" s="1775" t="s">
        <v>2295</v>
      </c>
      <c r="F14" s="1775" t="s">
        <v>2289</v>
      </c>
      <c r="G14" s="1775" t="s">
        <v>28</v>
      </c>
      <c r="H14" s="1775" t="s">
        <v>28</v>
      </c>
      <c r="I14" s="1775" t="s">
        <v>820</v>
      </c>
    </row>
    <row r="15" spans="1:9" ht="11.25" customHeight="1">
      <c r="A15" s="1775" t="s">
        <v>2259</v>
      </c>
      <c r="B15" s="1775" t="s">
        <v>16</v>
      </c>
      <c r="C15" s="1775" t="s">
        <v>2305</v>
      </c>
      <c r="D15" s="1775" t="s">
        <v>2306</v>
      </c>
      <c r="E15" s="1775" t="s">
        <v>2307</v>
      </c>
      <c r="F15" s="1775" t="s">
        <v>2308</v>
      </c>
      <c r="G15" s="1775" t="s">
        <v>28</v>
      </c>
      <c r="H15" s="1775" t="s">
        <v>2309</v>
      </c>
      <c r="I15" s="1775" t="s">
        <v>820</v>
      </c>
    </row>
    <row r="16" spans="1:9" ht="11.25" customHeight="1">
      <c r="A16" s="1775" t="s">
        <v>2259</v>
      </c>
      <c r="B16" s="1775" t="s">
        <v>16</v>
      </c>
      <c r="C16" s="1775" t="s">
        <v>2310</v>
      </c>
      <c r="D16" s="1775" t="s">
        <v>2311</v>
      </c>
      <c r="E16" s="1775" t="s">
        <v>2312</v>
      </c>
      <c r="F16" s="1775" t="s">
        <v>588</v>
      </c>
      <c r="G16" s="1775" t="s">
        <v>2313</v>
      </c>
      <c r="H16" s="1775" t="s">
        <v>28</v>
      </c>
      <c r="I16" s="1775" t="s">
        <v>820</v>
      </c>
    </row>
    <row r="17" spans="1:9" ht="11.25" customHeight="1">
      <c r="A17" s="1775" t="s">
        <v>2259</v>
      </c>
      <c r="B17" s="1775" t="s">
        <v>16</v>
      </c>
      <c r="C17" s="1775" t="s">
        <v>2314</v>
      </c>
      <c r="D17" s="1775" t="s">
        <v>2315</v>
      </c>
      <c r="E17" s="1775" t="s">
        <v>2316</v>
      </c>
      <c r="F17" s="1775" t="s">
        <v>2317</v>
      </c>
      <c r="G17" s="1775" t="s">
        <v>28</v>
      </c>
      <c r="H17" s="1775" t="s">
        <v>28</v>
      </c>
      <c r="I17" s="1775" t="s">
        <v>820</v>
      </c>
    </row>
    <row r="18" spans="1:9" ht="11.25" customHeight="1">
      <c r="A18" s="1775" t="s">
        <v>2259</v>
      </c>
      <c r="B18" s="1775" t="s">
        <v>16</v>
      </c>
      <c r="C18" s="1775" t="s">
        <v>2318</v>
      </c>
      <c r="D18" s="1775" t="s">
        <v>2319</v>
      </c>
      <c r="E18" s="1775" t="s">
        <v>2320</v>
      </c>
      <c r="F18" s="1775" t="s">
        <v>2321</v>
      </c>
      <c r="G18" s="1775" t="s">
        <v>28</v>
      </c>
      <c r="H18" s="1775" t="s">
        <v>28</v>
      </c>
      <c r="I18" s="1775" t="s">
        <v>820</v>
      </c>
    </row>
    <row r="19" spans="1:9" ht="11.25" customHeight="1">
      <c r="A19" s="1775" t="s">
        <v>2259</v>
      </c>
      <c r="B19" s="1775" t="s">
        <v>16</v>
      </c>
      <c r="C19" s="1775" t="s">
        <v>2322</v>
      </c>
      <c r="D19" s="1775" t="s">
        <v>2323</v>
      </c>
      <c r="E19" s="1775" t="s">
        <v>2316</v>
      </c>
      <c r="F19" s="1775" t="s">
        <v>2324</v>
      </c>
      <c r="G19" s="1775" t="s">
        <v>28</v>
      </c>
      <c r="H19" s="1775" t="s">
        <v>28</v>
      </c>
      <c r="I19" s="1775" t="s">
        <v>820</v>
      </c>
    </row>
    <row r="20" spans="1:9" ht="11.25" customHeight="1">
      <c r="A20" s="1775" t="s">
        <v>2259</v>
      </c>
      <c r="B20" s="1775" t="s">
        <v>16</v>
      </c>
      <c r="C20" s="1775" t="s">
        <v>2325</v>
      </c>
      <c r="D20" s="1775" t="s">
        <v>2326</v>
      </c>
      <c r="E20" s="1775" t="s">
        <v>2316</v>
      </c>
      <c r="F20" s="1775" t="s">
        <v>2327</v>
      </c>
      <c r="G20" s="1775" t="s">
        <v>28</v>
      </c>
      <c r="H20" s="1775" t="s">
        <v>28</v>
      </c>
      <c r="I20" s="1775" t="s">
        <v>820</v>
      </c>
    </row>
    <row r="21" spans="1:9" ht="11.25" customHeight="1">
      <c r="A21" s="1775" t="s">
        <v>2259</v>
      </c>
      <c r="B21" s="1775" t="s">
        <v>16</v>
      </c>
      <c r="C21" s="1775" t="s">
        <v>2328</v>
      </c>
      <c r="D21" s="1775" t="s">
        <v>2329</v>
      </c>
      <c r="E21" s="1775" t="s">
        <v>2316</v>
      </c>
      <c r="F21" s="1775" t="s">
        <v>2330</v>
      </c>
      <c r="G21" s="1775" t="s">
        <v>28</v>
      </c>
      <c r="H21" s="1775" t="s">
        <v>28</v>
      </c>
      <c r="I21" s="1775" t="s">
        <v>820</v>
      </c>
    </row>
    <row r="22" spans="1:9" ht="11.25" customHeight="1">
      <c r="A22" s="1775" t="s">
        <v>2259</v>
      </c>
      <c r="B22" s="1775" t="s">
        <v>16</v>
      </c>
      <c r="C22" s="1775" t="s">
        <v>2331</v>
      </c>
      <c r="D22" s="1775" t="s">
        <v>2332</v>
      </c>
      <c r="E22" s="1775" t="s">
        <v>2316</v>
      </c>
      <c r="F22" s="1775" t="s">
        <v>2333</v>
      </c>
      <c r="G22" s="1775" t="s">
        <v>28</v>
      </c>
      <c r="H22" s="1775" t="s">
        <v>28</v>
      </c>
      <c r="I22" s="1775" t="s">
        <v>820</v>
      </c>
    </row>
    <row r="23" spans="1:9" ht="11.25" customHeight="1">
      <c r="A23" s="1775" t="s">
        <v>2259</v>
      </c>
      <c r="B23" s="1775" t="s">
        <v>16</v>
      </c>
      <c r="C23" s="1775" t="s">
        <v>2334</v>
      </c>
      <c r="D23" s="1775" t="s">
        <v>2335</v>
      </c>
      <c r="E23" s="1775" t="s">
        <v>2336</v>
      </c>
      <c r="F23" s="1775" t="s">
        <v>2289</v>
      </c>
      <c r="G23" s="1775" t="s">
        <v>28</v>
      </c>
      <c r="H23" s="1775" t="s">
        <v>28</v>
      </c>
      <c r="I23" s="1775" t="s">
        <v>820</v>
      </c>
    </row>
    <row r="24" spans="1:9" ht="11.25" customHeight="1">
      <c r="A24" s="1775" t="s">
        <v>2259</v>
      </c>
      <c r="B24" s="1775" t="s">
        <v>16</v>
      </c>
      <c r="C24" s="1775" t="s">
        <v>2337</v>
      </c>
      <c r="D24" s="1775" t="s">
        <v>2338</v>
      </c>
      <c r="E24" s="1775" t="s">
        <v>2339</v>
      </c>
      <c r="F24" s="1775" t="s">
        <v>2340</v>
      </c>
      <c r="G24" s="1775" t="s">
        <v>28</v>
      </c>
      <c r="H24" s="1775" t="s">
        <v>28</v>
      </c>
      <c r="I24" s="1775" t="s">
        <v>820</v>
      </c>
    </row>
    <row r="25" spans="1:9" ht="11.25" customHeight="1">
      <c r="A25" s="1775" t="s">
        <v>2259</v>
      </c>
      <c r="B25" s="1775" t="s">
        <v>16</v>
      </c>
      <c r="C25" s="1775" t="s">
        <v>2341</v>
      </c>
      <c r="D25" s="1775" t="s">
        <v>2342</v>
      </c>
      <c r="E25" s="1775" t="s">
        <v>2343</v>
      </c>
      <c r="F25" s="1775" t="s">
        <v>2289</v>
      </c>
      <c r="G25" s="1775" t="s">
        <v>28</v>
      </c>
      <c r="H25" s="1775" t="s">
        <v>28</v>
      </c>
      <c r="I25" s="1775" t="s">
        <v>820</v>
      </c>
    </row>
    <row r="26" spans="1:9" ht="11.25" customHeight="1">
      <c r="A26" s="1775" t="s">
        <v>2259</v>
      </c>
      <c r="B26" s="1775" t="s">
        <v>16</v>
      </c>
      <c r="C26" s="1775" t="s">
        <v>2344</v>
      </c>
      <c r="D26" s="1775" t="s">
        <v>2345</v>
      </c>
      <c r="E26" s="1775" t="s">
        <v>2346</v>
      </c>
      <c r="F26" s="1775" t="s">
        <v>2347</v>
      </c>
      <c r="G26" s="1775" t="s">
        <v>28</v>
      </c>
      <c r="H26" s="1775" t="s">
        <v>28</v>
      </c>
      <c r="I26" s="1775" t="s">
        <v>820</v>
      </c>
    </row>
    <row r="27" spans="1:9" ht="11.25" customHeight="1">
      <c r="A27" s="1775" t="s">
        <v>2259</v>
      </c>
      <c r="B27" s="1775" t="s">
        <v>16</v>
      </c>
      <c r="C27" s="1775" t="s">
        <v>2348</v>
      </c>
      <c r="D27" s="1775" t="s">
        <v>2349</v>
      </c>
      <c r="E27" s="1775" t="s">
        <v>2350</v>
      </c>
      <c r="F27" s="1775" t="s">
        <v>2351</v>
      </c>
      <c r="G27" s="1775" t="s">
        <v>28</v>
      </c>
      <c r="H27" s="1775" t="s">
        <v>28</v>
      </c>
      <c r="I27" s="1775" t="s">
        <v>820</v>
      </c>
    </row>
    <row r="28" spans="1:9" ht="11.25" customHeight="1">
      <c r="A28" s="1775" t="s">
        <v>2259</v>
      </c>
      <c r="B28" s="1775" t="s">
        <v>16</v>
      </c>
      <c r="C28" s="1775" t="s">
        <v>28</v>
      </c>
      <c r="D28" s="1775" t="s">
        <v>2352</v>
      </c>
      <c r="E28" s="1775" t="s">
        <v>2353</v>
      </c>
      <c r="F28" s="1775" t="s">
        <v>2289</v>
      </c>
      <c r="G28" s="1775" t="s">
        <v>28</v>
      </c>
      <c r="H28" s="1775" t="s">
        <v>28</v>
      </c>
      <c r="I28" s="1775" t="s">
        <v>820</v>
      </c>
    </row>
    <row r="29" spans="1:9" ht="11.25" customHeight="1">
      <c r="A29" s="1775" t="s">
        <v>2259</v>
      </c>
      <c r="B29" s="1775" t="s">
        <v>16</v>
      </c>
      <c r="C29" s="1775" t="s">
        <v>2354</v>
      </c>
      <c r="D29" s="1775" t="s">
        <v>2355</v>
      </c>
      <c r="E29" s="1775" t="s">
        <v>2356</v>
      </c>
      <c r="F29" s="1775" t="s">
        <v>2357</v>
      </c>
      <c r="G29" s="1775" t="s">
        <v>28</v>
      </c>
      <c r="H29" s="1775" t="s">
        <v>28</v>
      </c>
      <c r="I29" s="1775" t="s">
        <v>820</v>
      </c>
    </row>
    <row r="30" spans="1:9" ht="11.25" customHeight="1">
      <c r="A30" s="1775" t="s">
        <v>2259</v>
      </c>
      <c r="B30" s="1775" t="s">
        <v>16</v>
      </c>
      <c r="C30" s="1775" t="s">
        <v>2358</v>
      </c>
      <c r="D30" s="1775" t="s">
        <v>2359</v>
      </c>
      <c r="E30" s="1775" t="s">
        <v>2360</v>
      </c>
      <c r="F30" s="1775" t="s">
        <v>2357</v>
      </c>
      <c r="G30" s="1775" t="s">
        <v>28</v>
      </c>
      <c r="H30" s="1775" t="s">
        <v>28</v>
      </c>
      <c r="I30" s="1775" t="s">
        <v>820</v>
      </c>
    </row>
    <row r="31" spans="1:9" ht="11.25" customHeight="1">
      <c r="A31" s="1775" t="s">
        <v>2259</v>
      </c>
      <c r="B31" s="1775" t="s">
        <v>16</v>
      </c>
      <c r="C31" s="1775" t="s">
        <v>2361</v>
      </c>
      <c r="D31" s="1775" t="s">
        <v>2362</v>
      </c>
      <c r="E31" s="1775" t="s">
        <v>2363</v>
      </c>
      <c r="F31" s="1775" t="s">
        <v>2364</v>
      </c>
      <c r="G31" s="1775" t="s">
        <v>28</v>
      </c>
      <c r="H31" s="1775" t="s">
        <v>28</v>
      </c>
      <c r="I31" s="1775" t="s">
        <v>820</v>
      </c>
    </row>
    <row r="32" spans="1:9" ht="11.25" customHeight="1">
      <c r="A32" s="1775" t="s">
        <v>2259</v>
      </c>
      <c r="B32" s="1775" t="s">
        <v>16</v>
      </c>
      <c r="C32" s="1775" t="s">
        <v>2365</v>
      </c>
      <c r="D32" s="1775" t="s">
        <v>2366</v>
      </c>
      <c r="E32" s="1775" t="s">
        <v>2367</v>
      </c>
      <c r="F32" s="1775" t="s">
        <v>2351</v>
      </c>
      <c r="G32" s="1775" t="s">
        <v>28</v>
      </c>
      <c r="H32" s="1775" t="s">
        <v>28</v>
      </c>
      <c r="I32" s="1775" t="s">
        <v>820</v>
      </c>
    </row>
    <row r="33" spans="1:9" ht="11.25" customHeight="1">
      <c r="A33" s="1775" t="s">
        <v>2259</v>
      </c>
      <c r="B33" s="1775" t="s">
        <v>16</v>
      </c>
      <c r="C33" s="1775" t="s">
        <v>2368</v>
      </c>
      <c r="D33" s="1775" t="s">
        <v>2369</v>
      </c>
      <c r="E33" s="1775" t="s">
        <v>2370</v>
      </c>
      <c r="F33" s="1775" t="s">
        <v>2308</v>
      </c>
      <c r="G33" s="1775" t="s">
        <v>2371</v>
      </c>
      <c r="H33" s="1775" t="s">
        <v>28</v>
      </c>
      <c r="I33" s="1775" t="s">
        <v>820</v>
      </c>
    </row>
    <row r="34" spans="1:9" ht="11.25" customHeight="1">
      <c r="A34" s="1775" t="s">
        <v>2259</v>
      </c>
      <c r="B34" s="1775" t="s">
        <v>16</v>
      </c>
      <c r="C34" s="1775" t="s">
        <v>2372</v>
      </c>
      <c r="D34" s="1775" t="s">
        <v>2373</v>
      </c>
      <c r="E34" s="1775" t="s">
        <v>2374</v>
      </c>
      <c r="F34" s="1775" t="s">
        <v>2375</v>
      </c>
      <c r="G34" s="1775" t="s">
        <v>2376</v>
      </c>
      <c r="H34" s="1775" t="s">
        <v>28</v>
      </c>
      <c r="I34" s="1775" t="s">
        <v>820</v>
      </c>
    </row>
    <row r="35" spans="1:9" ht="11.25" customHeight="1">
      <c r="A35" s="1775" t="s">
        <v>2259</v>
      </c>
      <c r="B35" s="1775" t="s">
        <v>16</v>
      </c>
      <c r="C35" s="1775" t="s">
        <v>2377</v>
      </c>
      <c r="D35" s="1775" t="s">
        <v>2378</v>
      </c>
      <c r="E35" s="1775" t="s">
        <v>2379</v>
      </c>
      <c r="F35" s="1775" t="s">
        <v>2380</v>
      </c>
      <c r="G35" s="1775" t="s">
        <v>28</v>
      </c>
      <c r="H35" s="1775" t="s">
        <v>28</v>
      </c>
      <c r="I35" s="1775" t="s">
        <v>820</v>
      </c>
    </row>
    <row r="36" spans="1:9" ht="11.25" customHeight="1">
      <c r="A36" s="1775" t="s">
        <v>2259</v>
      </c>
      <c r="B36" s="1775" t="s">
        <v>16</v>
      </c>
      <c r="C36" s="1775" t="s">
        <v>2381</v>
      </c>
      <c r="D36" s="1775" t="s">
        <v>2382</v>
      </c>
      <c r="E36" s="1775" t="s">
        <v>2383</v>
      </c>
      <c r="F36" s="1775" t="s">
        <v>2384</v>
      </c>
      <c r="G36" s="1775" t="s">
        <v>2385</v>
      </c>
      <c r="H36" s="1775" t="s">
        <v>28</v>
      </c>
      <c r="I36" s="1775" t="s">
        <v>820</v>
      </c>
    </row>
    <row r="37" spans="1:9" ht="11.25" customHeight="1">
      <c r="A37" s="1775" t="s">
        <v>2259</v>
      </c>
      <c r="B37" s="1775" t="s">
        <v>16</v>
      </c>
      <c r="C37" s="1775" t="s">
        <v>2386</v>
      </c>
      <c r="D37" s="1775" t="s">
        <v>2382</v>
      </c>
      <c r="E37" s="1775" t="s">
        <v>2387</v>
      </c>
      <c r="F37" s="1775" t="s">
        <v>2388</v>
      </c>
      <c r="G37" s="1775" t="s">
        <v>28</v>
      </c>
      <c r="H37" s="1775" t="s">
        <v>28</v>
      </c>
      <c r="I37" s="1775" t="s">
        <v>820</v>
      </c>
    </row>
    <row r="38" spans="1:9" ht="11.25" customHeight="1">
      <c r="A38" s="1775" t="s">
        <v>2259</v>
      </c>
      <c r="B38" s="1775" t="s">
        <v>16</v>
      </c>
      <c r="C38" s="1775" t="s">
        <v>2389</v>
      </c>
      <c r="D38" s="1775" t="s">
        <v>2390</v>
      </c>
      <c r="E38" s="1775" t="s">
        <v>2391</v>
      </c>
      <c r="F38" s="1775" t="s">
        <v>2270</v>
      </c>
      <c r="G38" s="1775" t="s">
        <v>28</v>
      </c>
      <c r="H38" s="1775" t="s">
        <v>28</v>
      </c>
      <c r="I38" s="1775" t="s">
        <v>820</v>
      </c>
    </row>
    <row r="39" spans="1:9" ht="11.25" customHeight="1">
      <c r="A39" s="1775" t="s">
        <v>2259</v>
      </c>
      <c r="B39" s="1775" t="s">
        <v>16</v>
      </c>
      <c r="C39" s="1775" t="s">
        <v>2392</v>
      </c>
      <c r="D39" s="1775" t="s">
        <v>2393</v>
      </c>
      <c r="E39" s="1775" t="s">
        <v>2394</v>
      </c>
      <c r="F39" s="1775" t="s">
        <v>2357</v>
      </c>
      <c r="G39" s="1775" t="s">
        <v>28</v>
      </c>
      <c r="H39" s="1775" t="s">
        <v>28</v>
      </c>
      <c r="I39" s="1775" t="s">
        <v>820</v>
      </c>
    </row>
    <row r="40" spans="1:9" ht="11.25" customHeight="1">
      <c r="A40" s="1775" t="s">
        <v>2259</v>
      </c>
      <c r="B40" s="1775" t="s">
        <v>16</v>
      </c>
      <c r="C40" s="1775" t="s">
        <v>2395</v>
      </c>
      <c r="D40" s="1775" t="s">
        <v>2396</v>
      </c>
      <c r="E40" s="1775" t="s">
        <v>2397</v>
      </c>
      <c r="F40" s="1775" t="s">
        <v>2347</v>
      </c>
      <c r="G40" s="1775" t="s">
        <v>2398</v>
      </c>
      <c r="H40" s="1775" t="s">
        <v>28</v>
      </c>
      <c r="I40" s="1775" t="s">
        <v>820</v>
      </c>
    </row>
    <row r="41" spans="1:9" ht="11.25" customHeight="1">
      <c r="A41" s="1775" t="s">
        <v>2259</v>
      </c>
      <c r="B41" s="1775" t="s">
        <v>16</v>
      </c>
      <c r="C41" s="1775" t="s">
        <v>2399</v>
      </c>
      <c r="D41" s="1775" t="s">
        <v>2400</v>
      </c>
      <c r="E41" s="1775" t="s">
        <v>2401</v>
      </c>
      <c r="F41" s="1775" t="s">
        <v>2340</v>
      </c>
      <c r="G41" s="1775" t="s">
        <v>28</v>
      </c>
      <c r="H41" s="1775" t="s">
        <v>28</v>
      </c>
      <c r="I41" s="1775" t="s">
        <v>820</v>
      </c>
    </row>
    <row r="42" spans="1:9" ht="11.25" customHeight="1">
      <c r="A42" s="1775" t="s">
        <v>2259</v>
      </c>
      <c r="B42" s="1775" t="s">
        <v>16</v>
      </c>
      <c r="C42" s="1775" t="s">
        <v>2402</v>
      </c>
      <c r="D42" s="1775" t="s">
        <v>2403</v>
      </c>
      <c r="E42" s="1775" t="s">
        <v>2404</v>
      </c>
      <c r="F42" s="1775" t="s">
        <v>2340</v>
      </c>
      <c r="G42" s="1775" t="s">
        <v>28</v>
      </c>
      <c r="H42" s="1775" t="s">
        <v>28</v>
      </c>
      <c r="I42" s="1775" t="s">
        <v>820</v>
      </c>
    </row>
    <row r="43" spans="1:9" ht="11.25" customHeight="1">
      <c r="A43" s="1775" t="s">
        <v>2259</v>
      </c>
      <c r="B43" s="1775" t="s">
        <v>16</v>
      </c>
      <c r="C43" s="1775" t="s">
        <v>2405</v>
      </c>
      <c r="D43" s="1775" t="s">
        <v>2406</v>
      </c>
      <c r="E43" s="1775" t="s">
        <v>2407</v>
      </c>
      <c r="F43" s="1775" t="s">
        <v>2408</v>
      </c>
      <c r="G43" s="1775" t="s">
        <v>28</v>
      </c>
      <c r="H43" s="1775" t="s">
        <v>28</v>
      </c>
      <c r="I43" s="1775" t="s">
        <v>820</v>
      </c>
    </row>
    <row r="44" spans="1:9" ht="11.25" customHeight="1">
      <c r="A44" s="1775" t="s">
        <v>2259</v>
      </c>
      <c r="B44" s="1775" t="s">
        <v>16</v>
      </c>
      <c r="C44" s="1775" t="s">
        <v>2409</v>
      </c>
      <c r="D44" s="1775" t="s">
        <v>2410</v>
      </c>
      <c r="E44" s="1775" t="s">
        <v>2411</v>
      </c>
      <c r="F44" s="1775" t="s">
        <v>2412</v>
      </c>
      <c r="G44" s="1775" t="s">
        <v>28</v>
      </c>
      <c r="H44" s="1775" t="s">
        <v>2413</v>
      </c>
      <c r="I44" s="1775" t="s">
        <v>820</v>
      </c>
    </row>
    <row r="45" spans="1:9" ht="11.25" customHeight="1">
      <c r="A45" s="1775" t="s">
        <v>2259</v>
      </c>
      <c r="B45" s="1775" t="s">
        <v>16</v>
      </c>
      <c r="C45" s="1775" t="s">
        <v>2414</v>
      </c>
      <c r="D45" s="1775" t="s">
        <v>2415</v>
      </c>
      <c r="E45" s="1775" t="s">
        <v>2416</v>
      </c>
      <c r="F45" s="1775" t="s">
        <v>2296</v>
      </c>
      <c r="G45" s="1775" t="s">
        <v>28</v>
      </c>
      <c r="H45" s="1775" t="s">
        <v>2417</v>
      </c>
      <c r="I45" s="1775" t="s">
        <v>820</v>
      </c>
    </row>
    <row r="46" spans="1:9" ht="11.25" customHeight="1">
      <c r="A46" s="1775" t="s">
        <v>2259</v>
      </c>
      <c r="B46" s="1775" t="s">
        <v>16</v>
      </c>
      <c r="C46" s="1775" t="s">
        <v>2418</v>
      </c>
      <c r="D46" s="1775" t="s">
        <v>2419</v>
      </c>
      <c r="E46" s="1775" t="s">
        <v>2420</v>
      </c>
      <c r="F46" s="1775" t="s">
        <v>2421</v>
      </c>
      <c r="G46" s="1775" t="s">
        <v>28</v>
      </c>
      <c r="H46" s="1775" t="s">
        <v>28</v>
      </c>
      <c r="I46" s="1775" t="s">
        <v>820</v>
      </c>
    </row>
    <row r="47" spans="1:9" ht="11.25" customHeight="1">
      <c r="A47" s="1775" t="s">
        <v>2259</v>
      </c>
      <c r="B47" s="1775" t="s">
        <v>16</v>
      </c>
      <c r="C47" s="1775" t="s">
        <v>2422</v>
      </c>
      <c r="D47" s="1775" t="s">
        <v>2423</v>
      </c>
      <c r="E47" s="1775" t="s">
        <v>2424</v>
      </c>
      <c r="F47" s="1775" t="s">
        <v>2408</v>
      </c>
      <c r="G47" s="1775" t="s">
        <v>28</v>
      </c>
      <c r="H47" s="1775" t="s">
        <v>28</v>
      </c>
      <c r="I47" s="1775" t="s">
        <v>820</v>
      </c>
    </row>
    <row r="48" spans="1:9" ht="11.25" customHeight="1">
      <c r="A48" s="1775" t="s">
        <v>2259</v>
      </c>
      <c r="B48" s="1775" t="s">
        <v>16</v>
      </c>
      <c r="C48" s="1775" t="s">
        <v>2425</v>
      </c>
      <c r="D48" s="1775" t="s">
        <v>2426</v>
      </c>
      <c r="E48" s="1775" t="s">
        <v>2427</v>
      </c>
      <c r="F48" s="1775" t="s">
        <v>2428</v>
      </c>
      <c r="G48" s="1775" t="s">
        <v>28</v>
      </c>
      <c r="H48" s="1775" t="s">
        <v>2429</v>
      </c>
      <c r="I48" s="1775" t="s">
        <v>820</v>
      </c>
    </row>
    <row r="49" spans="1:9" ht="11.25" customHeight="1">
      <c r="A49" s="1775" t="s">
        <v>2259</v>
      </c>
      <c r="B49" s="1775" t="s">
        <v>16</v>
      </c>
      <c r="C49" s="1775" t="s">
        <v>2430</v>
      </c>
      <c r="D49" s="1775" t="s">
        <v>2431</v>
      </c>
      <c r="E49" s="1775" t="s">
        <v>2432</v>
      </c>
      <c r="F49" s="1775" t="s">
        <v>2433</v>
      </c>
      <c r="G49" s="1775" t="s">
        <v>28</v>
      </c>
      <c r="H49" s="1775" t="s">
        <v>28</v>
      </c>
      <c r="I49" s="1775" t="s">
        <v>820</v>
      </c>
    </row>
    <row r="50" spans="1:9" ht="11.25" customHeight="1">
      <c r="A50" s="1775" t="s">
        <v>2259</v>
      </c>
      <c r="B50" s="1775" t="s">
        <v>16</v>
      </c>
      <c r="C50" s="1775" t="s">
        <v>2434</v>
      </c>
      <c r="D50" s="1775" t="s">
        <v>2435</v>
      </c>
      <c r="E50" s="1775" t="s">
        <v>2436</v>
      </c>
      <c r="F50" s="1775" t="s">
        <v>2340</v>
      </c>
      <c r="G50" s="1775" t="s">
        <v>28</v>
      </c>
      <c r="H50" s="1775" t="s">
        <v>28</v>
      </c>
      <c r="I50" s="1775" t="s">
        <v>820</v>
      </c>
    </row>
    <row r="51" spans="1:9" ht="11.25" customHeight="1">
      <c r="A51" s="1775" t="s">
        <v>2259</v>
      </c>
      <c r="B51" s="1775" t="s">
        <v>16</v>
      </c>
      <c r="C51" s="1775" t="s">
        <v>2437</v>
      </c>
      <c r="D51" s="1775" t="s">
        <v>2438</v>
      </c>
      <c r="E51" s="1775" t="s">
        <v>2439</v>
      </c>
      <c r="F51" s="1775" t="s">
        <v>2351</v>
      </c>
      <c r="G51" s="1775" t="s">
        <v>28</v>
      </c>
      <c r="H51" s="1775" t="s">
        <v>28</v>
      </c>
      <c r="I51" s="1775" t="s">
        <v>820</v>
      </c>
    </row>
    <row r="52" spans="1:9" ht="11.25" customHeight="1">
      <c r="A52" s="1775" t="s">
        <v>2259</v>
      </c>
      <c r="B52" s="1775" t="s">
        <v>16</v>
      </c>
      <c r="C52" s="1775" t="s">
        <v>2440</v>
      </c>
      <c r="D52" s="1775" t="s">
        <v>2441</v>
      </c>
      <c r="E52" s="1775" t="s">
        <v>2442</v>
      </c>
      <c r="F52" s="1775" t="s">
        <v>2296</v>
      </c>
      <c r="G52" s="1775" t="s">
        <v>28</v>
      </c>
      <c r="H52" s="1775" t="s">
        <v>2443</v>
      </c>
      <c r="I52" s="1775" t="s">
        <v>820</v>
      </c>
    </row>
    <row r="53" spans="1:9" ht="11.25" customHeight="1">
      <c r="A53" s="1775" t="s">
        <v>2259</v>
      </c>
      <c r="B53" s="1775" t="s">
        <v>16</v>
      </c>
      <c r="C53" s="1775" t="s">
        <v>2444</v>
      </c>
      <c r="D53" s="1775" t="s">
        <v>2445</v>
      </c>
      <c r="E53" s="1775" t="s">
        <v>2446</v>
      </c>
      <c r="F53" s="1775" t="s">
        <v>2340</v>
      </c>
      <c r="G53" s="1775" t="s">
        <v>28</v>
      </c>
      <c r="H53" s="1775" t="s">
        <v>28</v>
      </c>
      <c r="I53" s="1775" t="s">
        <v>820</v>
      </c>
    </row>
    <row r="54" spans="1:9" ht="11.25" customHeight="1">
      <c r="A54" s="1775" t="s">
        <v>2259</v>
      </c>
      <c r="B54" s="1775" t="s">
        <v>16</v>
      </c>
      <c r="C54" s="1775" t="s">
        <v>2447</v>
      </c>
      <c r="D54" s="1775" t="s">
        <v>2448</v>
      </c>
      <c r="E54" s="1775" t="s">
        <v>2449</v>
      </c>
      <c r="F54" s="1775" t="s">
        <v>2450</v>
      </c>
      <c r="G54" s="1775" t="s">
        <v>28</v>
      </c>
      <c r="H54" s="1775" t="s">
        <v>28</v>
      </c>
      <c r="I54" s="1775" t="s">
        <v>820</v>
      </c>
    </row>
    <row r="55" spans="1:9" ht="11.25" customHeight="1">
      <c r="A55" s="1775" t="s">
        <v>2259</v>
      </c>
      <c r="B55" s="1775" t="s">
        <v>16</v>
      </c>
      <c r="C55" s="1775" t="s">
        <v>2451</v>
      </c>
      <c r="D55" s="1775" t="s">
        <v>2452</v>
      </c>
      <c r="E55" s="1775" t="s">
        <v>2453</v>
      </c>
      <c r="F55" s="1775" t="s">
        <v>2421</v>
      </c>
      <c r="G55" s="1775" t="s">
        <v>28</v>
      </c>
      <c r="H55" s="1775" t="s">
        <v>28</v>
      </c>
      <c r="I55" s="1775" t="s">
        <v>820</v>
      </c>
    </row>
    <row r="56" spans="1:9" ht="11.25" customHeight="1">
      <c r="A56" s="1775" t="s">
        <v>2259</v>
      </c>
      <c r="B56" s="1775" t="s">
        <v>16</v>
      </c>
      <c r="C56" s="1775" t="s">
        <v>2454</v>
      </c>
      <c r="D56" s="1775" t="s">
        <v>2455</v>
      </c>
      <c r="E56" s="1775" t="s">
        <v>2456</v>
      </c>
      <c r="F56" s="1775" t="s">
        <v>2388</v>
      </c>
      <c r="G56" s="1775" t="s">
        <v>28</v>
      </c>
      <c r="H56" s="1775" t="s">
        <v>2457</v>
      </c>
      <c r="I56" s="1775" t="s">
        <v>820</v>
      </c>
    </row>
    <row r="57" spans="1:9" ht="11.25" customHeight="1">
      <c r="A57" s="1775" t="s">
        <v>2259</v>
      </c>
      <c r="B57" s="1775" t="s">
        <v>16</v>
      </c>
      <c r="C57" s="1775" t="s">
        <v>2458</v>
      </c>
      <c r="D57" s="1775" t="s">
        <v>2459</v>
      </c>
      <c r="E57" s="1775" t="s">
        <v>2460</v>
      </c>
      <c r="F57" s="1775" t="s">
        <v>2340</v>
      </c>
      <c r="G57" s="1775" t="s">
        <v>28</v>
      </c>
      <c r="H57" s="1775" t="s">
        <v>28</v>
      </c>
      <c r="I57" s="1775" t="s">
        <v>820</v>
      </c>
    </row>
    <row r="58" spans="1:9" ht="11.25" customHeight="1">
      <c r="A58" s="1775" t="s">
        <v>2259</v>
      </c>
      <c r="B58" s="1775" t="s">
        <v>16</v>
      </c>
      <c r="C58" s="1775" t="s">
        <v>2461</v>
      </c>
      <c r="D58" s="1775" t="s">
        <v>2462</v>
      </c>
      <c r="E58" s="1775" t="s">
        <v>2463</v>
      </c>
      <c r="F58" s="1775" t="s">
        <v>2388</v>
      </c>
      <c r="G58" s="1775" t="s">
        <v>28</v>
      </c>
      <c r="H58" s="1775" t="s">
        <v>28</v>
      </c>
      <c r="I58" s="1775" t="s">
        <v>820</v>
      </c>
    </row>
    <row r="59" spans="1:9" ht="11.25" customHeight="1">
      <c r="A59" s="1775" t="s">
        <v>2259</v>
      </c>
      <c r="B59" s="1775" t="s">
        <v>16</v>
      </c>
      <c r="C59" s="1775" t="s">
        <v>2464</v>
      </c>
      <c r="D59" s="1775" t="s">
        <v>2465</v>
      </c>
      <c r="E59" s="1775" t="s">
        <v>2466</v>
      </c>
      <c r="F59" s="1775" t="s">
        <v>2340</v>
      </c>
      <c r="G59" s="1775" t="s">
        <v>2467</v>
      </c>
      <c r="H59" s="1775" t="s">
        <v>28</v>
      </c>
      <c r="I59" s="1775" t="s">
        <v>820</v>
      </c>
    </row>
    <row r="60" spans="1:9" ht="11.25" customHeight="1">
      <c r="A60" s="1775" t="s">
        <v>2259</v>
      </c>
      <c r="B60" s="1775" t="s">
        <v>16</v>
      </c>
      <c r="C60" s="1775" t="s">
        <v>2468</v>
      </c>
      <c r="D60" s="1775" t="s">
        <v>2469</v>
      </c>
      <c r="E60" s="1775" t="s">
        <v>2470</v>
      </c>
      <c r="F60" s="1775" t="s">
        <v>2388</v>
      </c>
      <c r="G60" s="1775" t="s">
        <v>2471</v>
      </c>
      <c r="H60" s="1775" t="s">
        <v>28</v>
      </c>
      <c r="I60" s="1775" t="s">
        <v>820</v>
      </c>
    </row>
    <row r="61" spans="1:9" ht="11.25" customHeight="1">
      <c r="A61" s="1775" t="s">
        <v>2259</v>
      </c>
      <c r="B61" s="1775" t="s">
        <v>16</v>
      </c>
      <c r="C61" s="1775" t="s">
        <v>2472</v>
      </c>
      <c r="D61" s="1775" t="s">
        <v>2473</v>
      </c>
      <c r="E61" s="1775" t="s">
        <v>2474</v>
      </c>
      <c r="F61" s="1775" t="s">
        <v>2475</v>
      </c>
      <c r="G61" s="1775" t="s">
        <v>28</v>
      </c>
      <c r="H61" s="1775" t="s">
        <v>28</v>
      </c>
      <c r="I61" s="1775" t="s">
        <v>820</v>
      </c>
    </row>
    <row r="62" spans="1:9" ht="11.25" customHeight="1">
      <c r="A62" s="1775" t="s">
        <v>2259</v>
      </c>
      <c r="B62" s="1775" t="s">
        <v>16</v>
      </c>
      <c r="C62" s="1775" t="s">
        <v>2476</v>
      </c>
      <c r="D62" s="1775" t="s">
        <v>2477</v>
      </c>
      <c r="E62" s="1775" t="s">
        <v>2478</v>
      </c>
      <c r="F62" s="1775" t="s">
        <v>2450</v>
      </c>
      <c r="G62" s="1775" t="s">
        <v>28</v>
      </c>
      <c r="H62" s="1775" t="s">
        <v>28</v>
      </c>
      <c r="I62" s="1775" t="s">
        <v>820</v>
      </c>
    </row>
    <row r="63" spans="1:9" ht="11.25" customHeight="1">
      <c r="A63" s="1775" t="s">
        <v>2259</v>
      </c>
      <c r="B63" s="1775" t="s">
        <v>16</v>
      </c>
      <c r="C63" s="1775" t="s">
        <v>2479</v>
      </c>
      <c r="D63" s="1775" t="s">
        <v>2480</v>
      </c>
      <c r="E63" s="1775" t="s">
        <v>2481</v>
      </c>
      <c r="F63" s="1775" t="s">
        <v>2357</v>
      </c>
      <c r="G63" s="1775" t="s">
        <v>28</v>
      </c>
      <c r="H63" s="1775" t="s">
        <v>28</v>
      </c>
      <c r="I63" s="1775" t="s">
        <v>820</v>
      </c>
    </row>
    <row r="64" spans="1:9" ht="11.25" customHeight="1">
      <c r="A64" s="1775" t="s">
        <v>2259</v>
      </c>
      <c r="B64" s="1775" t="s">
        <v>16</v>
      </c>
      <c r="C64" s="1775" t="s">
        <v>2482</v>
      </c>
      <c r="D64" s="1775" t="s">
        <v>2483</v>
      </c>
      <c r="E64" s="1775" t="s">
        <v>2484</v>
      </c>
      <c r="F64" s="1775" t="s">
        <v>2421</v>
      </c>
      <c r="G64" s="1775" t="s">
        <v>28</v>
      </c>
      <c r="H64" s="1775" t="s">
        <v>28</v>
      </c>
      <c r="I64" s="1775" t="s">
        <v>820</v>
      </c>
    </row>
    <row r="65" spans="1:9" ht="11.25" customHeight="1">
      <c r="A65" s="1775" t="s">
        <v>2259</v>
      </c>
      <c r="B65" s="1775" t="s">
        <v>16</v>
      </c>
      <c r="C65" s="1775" t="s">
        <v>2485</v>
      </c>
      <c r="D65" s="1775" t="s">
        <v>2486</v>
      </c>
      <c r="E65" s="1775" t="s">
        <v>2487</v>
      </c>
      <c r="F65" s="1775" t="s">
        <v>2270</v>
      </c>
      <c r="G65" s="1775" t="s">
        <v>28</v>
      </c>
      <c r="H65" s="1775" t="s">
        <v>28</v>
      </c>
      <c r="I65" s="1775" t="s">
        <v>820</v>
      </c>
    </row>
    <row r="66" spans="1:9" ht="11.25" customHeight="1">
      <c r="A66" s="1775" t="s">
        <v>2259</v>
      </c>
      <c r="B66" s="1775" t="s">
        <v>16</v>
      </c>
      <c r="C66" s="1775" t="s">
        <v>2488</v>
      </c>
      <c r="D66" s="1775" t="s">
        <v>2489</v>
      </c>
      <c r="E66" s="1775" t="s">
        <v>2490</v>
      </c>
      <c r="F66" s="1775" t="s">
        <v>51</v>
      </c>
      <c r="G66" s="1775" t="s">
        <v>28</v>
      </c>
      <c r="H66" s="1775" t="s">
        <v>28</v>
      </c>
      <c r="I66" s="1775" t="s">
        <v>820</v>
      </c>
    </row>
    <row r="67" spans="1:9" ht="11.25" customHeight="1">
      <c r="A67" s="1775" t="s">
        <v>2259</v>
      </c>
      <c r="B67" s="1775" t="s">
        <v>16</v>
      </c>
      <c r="C67" s="1775" t="s">
        <v>2491</v>
      </c>
      <c r="D67" s="1775" t="s">
        <v>2492</v>
      </c>
      <c r="E67" s="1775" t="s">
        <v>2316</v>
      </c>
      <c r="F67" s="1775" t="s">
        <v>2493</v>
      </c>
      <c r="G67" s="1775" t="s">
        <v>28</v>
      </c>
      <c r="H67" s="1775" t="s">
        <v>28</v>
      </c>
      <c r="I67" s="1775" t="s">
        <v>820</v>
      </c>
    </row>
    <row r="68" spans="1:9" ht="11.25" customHeight="1">
      <c r="A68" s="1775" t="s">
        <v>2259</v>
      </c>
      <c r="B68" s="1775" t="s">
        <v>16</v>
      </c>
      <c r="C68" s="1775" t="s">
        <v>2494</v>
      </c>
      <c r="D68" s="1775" t="s">
        <v>2495</v>
      </c>
      <c r="E68" s="1775" t="s">
        <v>2496</v>
      </c>
      <c r="F68" s="1775" t="s">
        <v>2340</v>
      </c>
      <c r="G68" s="1775" t="s">
        <v>28</v>
      </c>
      <c r="H68" s="1775" t="s">
        <v>28</v>
      </c>
      <c r="I68" s="1775" t="s">
        <v>820</v>
      </c>
    </row>
    <row r="69" spans="1:9" ht="11.25" customHeight="1">
      <c r="A69" s="1775" t="s">
        <v>2259</v>
      </c>
      <c r="B69" s="1775" t="s">
        <v>16</v>
      </c>
      <c r="C69" s="1775" t="s">
        <v>2497</v>
      </c>
      <c r="D69" s="1775" t="s">
        <v>2498</v>
      </c>
      <c r="E69" s="1775" t="s">
        <v>2499</v>
      </c>
      <c r="F69" s="1775" t="s">
        <v>2270</v>
      </c>
      <c r="G69" s="1775" t="s">
        <v>28</v>
      </c>
      <c r="H69" s="1775" t="s">
        <v>28</v>
      </c>
      <c r="I69" s="1775" t="s">
        <v>820</v>
      </c>
    </row>
    <row r="70" spans="1:9" ht="11.25" customHeight="1">
      <c r="A70" s="1775" t="s">
        <v>2259</v>
      </c>
      <c r="B70" s="1775" t="s">
        <v>16</v>
      </c>
      <c r="C70" s="1775" t="s">
        <v>2500</v>
      </c>
      <c r="D70" s="1775" t="s">
        <v>2501</v>
      </c>
      <c r="E70" s="1775" t="s">
        <v>2502</v>
      </c>
      <c r="F70" s="1775" t="s">
        <v>2270</v>
      </c>
      <c r="G70" s="1775" t="s">
        <v>28</v>
      </c>
      <c r="H70" s="1775" t="s">
        <v>28</v>
      </c>
      <c r="I70" s="1775" t="s">
        <v>820</v>
      </c>
    </row>
    <row r="71" spans="1:9" ht="11.25" customHeight="1">
      <c r="A71" s="1775" t="s">
        <v>2259</v>
      </c>
      <c r="B71" s="1775" t="s">
        <v>16</v>
      </c>
      <c r="C71" s="1775" t="s">
        <v>2503</v>
      </c>
      <c r="D71" s="1775" t="s">
        <v>2504</v>
      </c>
      <c r="E71" s="1775" t="s">
        <v>2505</v>
      </c>
      <c r="F71" s="1775" t="s">
        <v>51</v>
      </c>
      <c r="G71" s="1775" t="s">
        <v>28</v>
      </c>
      <c r="H71" s="1775" t="s">
        <v>28</v>
      </c>
      <c r="I71" s="1775" t="s">
        <v>820</v>
      </c>
    </row>
    <row r="72" spans="1:9" ht="11.25" customHeight="1">
      <c r="A72" s="1775" t="s">
        <v>2259</v>
      </c>
      <c r="B72" s="1775" t="s">
        <v>16</v>
      </c>
      <c r="C72" s="1775" t="s">
        <v>2506</v>
      </c>
      <c r="D72" s="1775" t="s">
        <v>2507</v>
      </c>
      <c r="E72" s="1775" t="s">
        <v>2508</v>
      </c>
      <c r="F72" s="1775" t="s">
        <v>2475</v>
      </c>
      <c r="G72" s="1775" t="s">
        <v>28</v>
      </c>
      <c r="H72" s="1775" t="s">
        <v>28</v>
      </c>
      <c r="I72" s="1775" t="s">
        <v>820</v>
      </c>
    </row>
    <row r="73" spans="1:9" ht="11.25" customHeight="1">
      <c r="A73" s="1775" t="s">
        <v>2259</v>
      </c>
      <c r="B73" s="1775" t="s">
        <v>16</v>
      </c>
      <c r="C73" s="1775" t="s">
        <v>2509</v>
      </c>
      <c r="D73" s="1775" t="s">
        <v>2510</v>
      </c>
      <c r="E73" s="1775" t="s">
        <v>2511</v>
      </c>
      <c r="F73" s="1775" t="s">
        <v>2296</v>
      </c>
      <c r="G73" s="1775" t="s">
        <v>28</v>
      </c>
      <c r="H73" s="1775" t="s">
        <v>28</v>
      </c>
      <c r="I73" s="1775" t="s">
        <v>820</v>
      </c>
    </row>
    <row r="74" spans="1:9" ht="11.25" customHeight="1">
      <c r="A74" s="1775" t="s">
        <v>2259</v>
      </c>
      <c r="B74" s="1775" t="s">
        <v>16</v>
      </c>
      <c r="C74" s="1775" t="s">
        <v>2512</v>
      </c>
      <c r="D74" s="1775" t="s">
        <v>2513</v>
      </c>
      <c r="E74" s="1775" t="s">
        <v>2514</v>
      </c>
      <c r="F74" s="1775" t="s">
        <v>2270</v>
      </c>
      <c r="G74" s="1775" t="s">
        <v>28</v>
      </c>
      <c r="H74" s="1775" t="s">
        <v>28</v>
      </c>
      <c r="I74" s="1775" t="s">
        <v>820</v>
      </c>
    </row>
    <row r="75" spans="1:9" ht="11.25" customHeight="1">
      <c r="A75" s="1775" t="s">
        <v>2259</v>
      </c>
      <c r="B75" s="1775" t="s">
        <v>16</v>
      </c>
      <c r="C75" s="1775" t="s">
        <v>2515</v>
      </c>
      <c r="D75" s="1775" t="s">
        <v>2516</v>
      </c>
      <c r="E75" s="1775" t="s">
        <v>2517</v>
      </c>
      <c r="F75" s="1775" t="s">
        <v>2340</v>
      </c>
      <c r="G75" s="1775" t="s">
        <v>28</v>
      </c>
      <c r="H75" s="1775" t="s">
        <v>28</v>
      </c>
      <c r="I75" s="1775" t="s">
        <v>820</v>
      </c>
    </row>
    <row r="76" spans="1:9" ht="11.25" customHeight="1">
      <c r="A76" s="1775" t="s">
        <v>2259</v>
      </c>
      <c r="B76" s="1775" t="s">
        <v>16</v>
      </c>
      <c r="C76" s="1775" t="s">
        <v>2518</v>
      </c>
      <c r="D76" s="1775" t="s">
        <v>2519</v>
      </c>
      <c r="E76" s="1775" t="s">
        <v>2520</v>
      </c>
      <c r="F76" s="1775" t="s">
        <v>2388</v>
      </c>
      <c r="G76" s="1775" t="s">
        <v>28</v>
      </c>
      <c r="H76" s="1775" t="s">
        <v>28</v>
      </c>
      <c r="I76" s="1775" t="s">
        <v>820</v>
      </c>
    </row>
    <row r="77" spans="1:9" ht="11.25" customHeight="1">
      <c r="A77" s="1775" t="s">
        <v>2259</v>
      </c>
      <c r="B77" s="1775" t="s">
        <v>16</v>
      </c>
      <c r="C77" s="1775" t="s">
        <v>2521</v>
      </c>
      <c r="D77" s="1775" t="s">
        <v>2522</v>
      </c>
      <c r="E77" s="1775" t="s">
        <v>2523</v>
      </c>
      <c r="F77" s="1775" t="s">
        <v>2347</v>
      </c>
      <c r="G77" s="1775" t="s">
        <v>28</v>
      </c>
      <c r="H77" s="1775" t="s">
        <v>28</v>
      </c>
      <c r="I77" s="1775" t="s">
        <v>820</v>
      </c>
    </row>
    <row r="78" spans="1:9" ht="11.25" customHeight="1">
      <c r="A78" s="1775" t="s">
        <v>2259</v>
      </c>
      <c r="B78" s="1775" t="s">
        <v>16</v>
      </c>
      <c r="C78" s="1775" t="s">
        <v>2524</v>
      </c>
      <c r="D78" s="1775" t="s">
        <v>2525</v>
      </c>
      <c r="E78" s="1775" t="s">
        <v>2526</v>
      </c>
      <c r="F78" s="1775" t="s">
        <v>2289</v>
      </c>
      <c r="G78" s="1775" t="s">
        <v>28</v>
      </c>
      <c r="H78" s="1775" t="s">
        <v>28</v>
      </c>
      <c r="I78" s="1775" t="s">
        <v>820</v>
      </c>
    </row>
    <row r="79" spans="1:9" ht="11.25" customHeight="1">
      <c r="A79" s="1775" t="s">
        <v>2259</v>
      </c>
      <c r="B79" s="1775" t="s">
        <v>16</v>
      </c>
      <c r="C79" s="1775" t="s">
        <v>2527</v>
      </c>
      <c r="D79" s="1775" t="s">
        <v>2528</v>
      </c>
      <c r="E79" s="1775" t="s">
        <v>2529</v>
      </c>
      <c r="F79" s="1775" t="s">
        <v>2475</v>
      </c>
      <c r="G79" s="1775" t="s">
        <v>28</v>
      </c>
      <c r="H79" s="1775" t="s">
        <v>28</v>
      </c>
      <c r="I79" s="1775" t="s">
        <v>820</v>
      </c>
    </row>
    <row r="80" spans="1:9" ht="11.25" customHeight="1">
      <c r="A80" s="1775" t="s">
        <v>2259</v>
      </c>
      <c r="B80" s="1775" t="s">
        <v>16</v>
      </c>
      <c r="C80" s="1775" t="s">
        <v>2530</v>
      </c>
      <c r="D80" s="1775" t="s">
        <v>2531</v>
      </c>
      <c r="E80" s="1775" t="s">
        <v>2532</v>
      </c>
      <c r="F80" s="1775" t="s">
        <v>2296</v>
      </c>
      <c r="G80" s="1775" t="s">
        <v>28</v>
      </c>
      <c r="H80" s="1775" t="s">
        <v>28</v>
      </c>
      <c r="I80" s="1775" t="s">
        <v>820</v>
      </c>
    </row>
    <row r="81" spans="1:9" ht="11.25" customHeight="1">
      <c r="A81" s="1775" t="s">
        <v>2259</v>
      </c>
      <c r="B81" s="1775" t="s">
        <v>16</v>
      </c>
      <c r="C81" s="1775" t="s">
        <v>2533</v>
      </c>
      <c r="D81" s="1775" t="s">
        <v>2534</v>
      </c>
      <c r="E81" s="1775" t="s">
        <v>2535</v>
      </c>
      <c r="F81" s="1775" t="s">
        <v>2270</v>
      </c>
      <c r="G81" s="1775" t="s">
        <v>28</v>
      </c>
      <c r="H81" s="1775" t="s">
        <v>28</v>
      </c>
      <c r="I81" s="1775" t="s">
        <v>820</v>
      </c>
    </row>
    <row r="82" spans="1:9" ht="11.25" customHeight="1">
      <c r="A82" s="1775" t="s">
        <v>2259</v>
      </c>
      <c r="B82" s="1775" t="s">
        <v>16</v>
      </c>
      <c r="C82" s="1775" t="s">
        <v>2536</v>
      </c>
      <c r="D82" s="1775" t="s">
        <v>2537</v>
      </c>
      <c r="E82" s="1775" t="s">
        <v>2538</v>
      </c>
      <c r="F82" s="1775" t="s">
        <v>2388</v>
      </c>
      <c r="G82" s="1775" t="s">
        <v>2539</v>
      </c>
      <c r="H82" s="1775" t="s">
        <v>28</v>
      </c>
      <c r="I82" s="1775" t="s">
        <v>820</v>
      </c>
    </row>
    <row r="83" spans="1:9" ht="11.25" customHeight="1">
      <c r="A83" s="1775" t="s">
        <v>2259</v>
      </c>
      <c r="B83" s="1775" t="s">
        <v>16</v>
      </c>
      <c r="C83" s="1775" t="s">
        <v>2540</v>
      </c>
      <c r="D83" s="1775" t="s">
        <v>2541</v>
      </c>
      <c r="E83" s="1775" t="s">
        <v>2542</v>
      </c>
      <c r="F83" s="1775" t="s">
        <v>2364</v>
      </c>
      <c r="G83" s="1775" t="s">
        <v>28</v>
      </c>
      <c r="H83" s="1775" t="s">
        <v>28</v>
      </c>
      <c r="I83" s="1775" t="s">
        <v>820</v>
      </c>
    </row>
    <row r="84" spans="1:9" ht="11.25" customHeight="1">
      <c r="A84" s="1775" t="s">
        <v>2259</v>
      </c>
      <c r="B84" s="1775" t="s">
        <v>16</v>
      </c>
      <c r="C84" s="1775" t="s">
        <v>2543</v>
      </c>
      <c r="D84" s="1775" t="s">
        <v>2544</v>
      </c>
      <c r="E84" s="1775" t="s">
        <v>2545</v>
      </c>
      <c r="F84" s="1775" t="s">
        <v>2546</v>
      </c>
      <c r="G84" s="1775" t="s">
        <v>28</v>
      </c>
      <c r="H84" s="1775" t="s">
        <v>28</v>
      </c>
      <c r="I84" s="1775" t="s">
        <v>820</v>
      </c>
    </row>
    <row r="85" spans="1:9" ht="11.25" customHeight="1">
      <c r="A85" s="1775" t="s">
        <v>2259</v>
      </c>
      <c r="B85" s="1775" t="s">
        <v>16</v>
      </c>
      <c r="C85" s="1775" t="s">
        <v>2547</v>
      </c>
      <c r="D85" s="1775" t="s">
        <v>2548</v>
      </c>
      <c r="E85" s="1775" t="s">
        <v>2549</v>
      </c>
      <c r="F85" s="1775" t="s">
        <v>2384</v>
      </c>
      <c r="G85" s="1775" t="s">
        <v>28</v>
      </c>
      <c r="H85" s="1775" t="s">
        <v>28</v>
      </c>
      <c r="I85" s="1775" t="s">
        <v>820</v>
      </c>
    </row>
    <row r="86" spans="1:9" ht="11.25" customHeight="1">
      <c r="A86" s="1775" t="s">
        <v>2259</v>
      </c>
      <c r="B86" s="1775" t="s">
        <v>16</v>
      </c>
      <c r="C86" s="1775" t="s">
        <v>2550</v>
      </c>
      <c r="D86" s="1775" t="s">
        <v>2551</v>
      </c>
      <c r="E86" s="1775" t="s">
        <v>2552</v>
      </c>
      <c r="F86" s="1775" t="s">
        <v>2375</v>
      </c>
      <c r="G86" s="1775" t="s">
        <v>28</v>
      </c>
      <c r="H86" s="1775" t="s">
        <v>28</v>
      </c>
      <c r="I86" s="1775" t="s">
        <v>820</v>
      </c>
    </row>
    <row r="87" spans="1:9" ht="11.25" customHeight="1">
      <c r="A87" s="1775" t="s">
        <v>2259</v>
      </c>
      <c r="B87" s="1775" t="s">
        <v>16</v>
      </c>
      <c r="C87" s="1775" t="s">
        <v>2553</v>
      </c>
      <c r="D87" s="1775" t="s">
        <v>2554</v>
      </c>
      <c r="E87" s="1775" t="s">
        <v>2555</v>
      </c>
      <c r="F87" s="1775" t="s">
        <v>2556</v>
      </c>
      <c r="G87" s="1775" t="s">
        <v>28</v>
      </c>
      <c r="H87" s="1775" t="s">
        <v>28</v>
      </c>
      <c r="I87" s="1775" t="s">
        <v>820</v>
      </c>
    </row>
    <row r="88" spans="1:9" ht="11.25" customHeight="1">
      <c r="A88" s="1775" t="s">
        <v>2259</v>
      </c>
      <c r="B88" s="1775" t="s">
        <v>16</v>
      </c>
      <c r="C88" s="1775" t="s">
        <v>2557</v>
      </c>
      <c r="D88" s="1775" t="s">
        <v>2558</v>
      </c>
      <c r="E88" s="1775" t="s">
        <v>2559</v>
      </c>
      <c r="F88" s="1775" t="s">
        <v>2296</v>
      </c>
      <c r="G88" s="1775" t="s">
        <v>28</v>
      </c>
      <c r="H88" s="1775" t="s">
        <v>28</v>
      </c>
      <c r="I88" s="1775" t="s">
        <v>820</v>
      </c>
    </row>
    <row r="89" spans="1:9" ht="11.25" customHeight="1">
      <c r="A89" s="1775" t="s">
        <v>2259</v>
      </c>
      <c r="B89" s="1775" t="s">
        <v>16</v>
      </c>
      <c r="C89" s="1775" t="s">
        <v>2560</v>
      </c>
      <c r="D89" s="1775" t="s">
        <v>2561</v>
      </c>
      <c r="E89" s="1775" t="s">
        <v>2562</v>
      </c>
      <c r="F89" s="1775" t="s">
        <v>51</v>
      </c>
      <c r="G89" s="1775" t="s">
        <v>28</v>
      </c>
      <c r="H89" s="1775" t="s">
        <v>28</v>
      </c>
      <c r="I89" s="1775" t="s">
        <v>820</v>
      </c>
    </row>
    <row r="90" spans="1:9" ht="11.25" customHeight="1">
      <c r="A90" s="1775" t="s">
        <v>2259</v>
      </c>
      <c r="B90" s="1775" t="s">
        <v>16</v>
      </c>
      <c r="C90" s="1775" t="s">
        <v>2563</v>
      </c>
      <c r="D90" s="1775" t="s">
        <v>2564</v>
      </c>
      <c r="E90" s="1775" t="s">
        <v>2565</v>
      </c>
      <c r="F90" s="1775" t="s">
        <v>2351</v>
      </c>
      <c r="G90" s="1775" t="s">
        <v>28</v>
      </c>
      <c r="H90" s="1775" t="s">
        <v>28</v>
      </c>
      <c r="I90" s="1775" t="s">
        <v>820</v>
      </c>
    </row>
    <row r="91" spans="1:9" ht="11.25" customHeight="1">
      <c r="A91" s="1775" t="s">
        <v>2259</v>
      </c>
      <c r="B91" s="1775" t="s">
        <v>16</v>
      </c>
      <c r="C91" s="1775" t="s">
        <v>2566</v>
      </c>
      <c r="D91" s="1775" t="s">
        <v>2567</v>
      </c>
      <c r="E91" s="1775" t="s">
        <v>2568</v>
      </c>
      <c r="F91" s="1775" t="s">
        <v>2289</v>
      </c>
      <c r="G91" s="1775" t="s">
        <v>28</v>
      </c>
      <c r="H91" s="1775" t="s">
        <v>28</v>
      </c>
      <c r="I91" s="1775" t="s">
        <v>820</v>
      </c>
    </row>
    <row r="92" spans="1:9" ht="11.25" customHeight="1">
      <c r="A92" s="1775" t="s">
        <v>2259</v>
      </c>
      <c r="B92" s="1775" t="s">
        <v>16</v>
      </c>
      <c r="C92" s="1775" t="s">
        <v>2569</v>
      </c>
      <c r="D92" s="1775" t="s">
        <v>2570</v>
      </c>
      <c r="E92" s="1775" t="s">
        <v>2571</v>
      </c>
      <c r="F92" s="1775" t="s">
        <v>2296</v>
      </c>
      <c r="G92" s="1775" t="s">
        <v>28</v>
      </c>
      <c r="H92" s="1775" t="s">
        <v>28</v>
      </c>
      <c r="I92" s="1775" t="s">
        <v>820</v>
      </c>
    </row>
    <row r="93" spans="1:9" ht="11.25" customHeight="1">
      <c r="A93" s="1775" t="s">
        <v>2259</v>
      </c>
      <c r="B93" s="1775" t="s">
        <v>16</v>
      </c>
      <c r="C93" s="1775" t="s">
        <v>2572</v>
      </c>
      <c r="D93" s="1775" t="s">
        <v>2573</v>
      </c>
      <c r="E93" s="1775" t="s">
        <v>2574</v>
      </c>
      <c r="F93" s="1775" t="s">
        <v>2296</v>
      </c>
      <c r="G93" s="1775" t="s">
        <v>2575</v>
      </c>
      <c r="H93" s="1775" t="s">
        <v>28</v>
      </c>
      <c r="I93" s="1775" t="s">
        <v>820</v>
      </c>
    </row>
    <row r="94" spans="1:9" ht="11.25" customHeight="1">
      <c r="A94" s="1775" t="s">
        <v>2259</v>
      </c>
      <c r="B94" s="1775" t="s">
        <v>16</v>
      </c>
      <c r="C94" s="1775" t="s">
        <v>2576</v>
      </c>
      <c r="D94" s="1775" t="s">
        <v>2577</v>
      </c>
      <c r="E94" s="1775" t="s">
        <v>2578</v>
      </c>
      <c r="F94" s="1775" t="s">
        <v>2357</v>
      </c>
      <c r="G94" s="1775" t="s">
        <v>28</v>
      </c>
      <c r="H94" s="1775" t="s">
        <v>28</v>
      </c>
      <c r="I94" s="1775" t="s">
        <v>820</v>
      </c>
    </row>
    <row r="95" spans="1:9" ht="11.25" customHeight="1">
      <c r="A95" s="1775" t="s">
        <v>2259</v>
      </c>
      <c r="B95" s="1775" t="s">
        <v>16</v>
      </c>
      <c r="C95" s="1775" t="s">
        <v>2579</v>
      </c>
      <c r="D95" s="1775" t="s">
        <v>2580</v>
      </c>
      <c r="E95" s="1775" t="s">
        <v>2581</v>
      </c>
      <c r="F95" s="1775" t="s">
        <v>2308</v>
      </c>
      <c r="G95" s="1775" t="s">
        <v>28</v>
      </c>
      <c r="H95" s="1775" t="s">
        <v>28</v>
      </c>
      <c r="I95" s="1775" t="s">
        <v>820</v>
      </c>
    </row>
    <row r="96" spans="1:9" ht="11.25" customHeight="1">
      <c r="A96" s="1775" t="s">
        <v>2259</v>
      </c>
      <c r="B96" s="1775" t="s">
        <v>16</v>
      </c>
      <c r="C96" s="1775" t="s">
        <v>2582</v>
      </c>
      <c r="D96" s="1775" t="s">
        <v>2583</v>
      </c>
      <c r="E96" s="1775" t="s">
        <v>2584</v>
      </c>
      <c r="F96" s="1775" t="s">
        <v>2412</v>
      </c>
      <c r="G96" s="1775" t="s">
        <v>28</v>
      </c>
      <c r="H96" s="1775" t="s">
        <v>28</v>
      </c>
      <c r="I96" s="1775" t="s">
        <v>820</v>
      </c>
    </row>
    <row r="97" spans="1:9" ht="11.25" customHeight="1">
      <c r="A97" s="1775" t="s">
        <v>2259</v>
      </c>
      <c r="B97" s="1775" t="s">
        <v>16</v>
      </c>
      <c r="C97" s="1775" t="s">
        <v>2585</v>
      </c>
      <c r="D97" s="1775" t="s">
        <v>2586</v>
      </c>
      <c r="E97" s="1775" t="s">
        <v>2587</v>
      </c>
      <c r="F97" s="1775" t="s">
        <v>2296</v>
      </c>
      <c r="G97" s="1775" t="s">
        <v>28</v>
      </c>
      <c r="H97" s="1775" t="s">
        <v>28</v>
      </c>
      <c r="I97" s="1775" t="s">
        <v>820</v>
      </c>
    </row>
    <row r="98" spans="1:9" ht="11.25" customHeight="1">
      <c r="A98" s="1775" t="s">
        <v>2259</v>
      </c>
      <c r="B98" s="1775" t="s">
        <v>16</v>
      </c>
      <c r="C98" s="1775" t="s">
        <v>2588</v>
      </c>
      <c r="D98" s="1775" t="s">
        <v>2589</v>
      </c>
      <c r="E98" s="1775" t="s">
        <v>2590</v>
      </c>
      <c r="F98" s="1775" t="s">
        <v>2289</v>
      </c>
      <c r="G98" s="1775" t="s">
        <v>28</v>
      </c>
      <c r="H98" s="1775" t="s">
        <v>28</v>
      </c>
      <c r="I98" s="1775" t="s">
        <v>820</v>
      </c>
    </row>
    <row r="99" spans="1:9" ht="11.25" customHeight="1">
      <c r="A99" s="1775" t="s">
        <v>2259</v>
      </c>
      <c r="B99" s="1775" t="s">
        <v>16</v>
      </c>
      <c r="C99" s="1775" t="s">
        <v>2591</v>
      </c>
      <c r="D99" s="1775" t="s">
        <v>2592</v>
      </c>
      <c r="E99" s="1775" t="s">
        <v>2593</v>
      </c>
      <c r="F99" s="1775" t="s">
        <v>2270</v>
      </c>
      <c r="G99" s="1775" t="s">
        <v>28</v>
      </c>
      <c r="H99" s="1775" t="s">
        <v>28</v>
      </c>
      <c r="I99" s="1775" t="s">
        <v>820</v>
      </c>
    </row>
    <row r="100" spans="1:9" ht="11.25" customHeight="1">
      <c r="A100" s="1775" t="s">
        <v>2259</v>
      </c>
      <c r="B100" s="1775" t="s">
        <v>16</v>
      </c>
      <c r="C100" s="1775" t="s">
        <v>2594</v>
      </c>
      <c r="D100" s="1775" t="s">
        <v>2595</v>
      </c>
      <c r="E100" s="1775" t="s">
        <v>2596</v>
      </c>
      <c r="F100" s="1775" t="s">
        <v>2597</v>
      </c>
      <c r="G100" s="1775" t="s">
        <v>28</v>
      </c>
      <c r="H100" s="1775" t="s">
        <v>28</v>
      </c>
      <c r="I100" s="1775" t="s">
        <v>820</v>
      </c>
    </row>
    <row r="101" spans="1:9" ht="11.25" customHeight="1">
      <c r="A101" s="1775" t="s">
        <v>2259</v>
      </c>
      <c r="B101" s="1775" t="s">
        <v>16</v>
      </c>
      <c r="C101" s="1775" t="s">
        <v>2598</v>
      </c>
      <c r="D101" s="1775" t="s">
        <v>2595</v>
      </c>
      <c r="E101" s="1775" t="s">
        <v>2599</v>
      </c>
      <c r="F101" s="1775" t="s">
        <v>2450</v>
      </c>
      <c r="G101" s="1775" t="s">
        <v>28</v>
      </c>
      <c r="H101" s="1775" t="s">
        <v>28</v>
      </c>
      <c r="I101" s="1775" t="s">
        <v>820</v>
      </c>
    </row>
    <row r="102" spans="1:9" ht="11.25" customHeight="1">
      <c r="A102" s="1775" t="s">
        <v>2259</v>
      </c>
      <c r="B102" s="1775" t="s">
        <v>16</v>
      </c>
      <c r="C102" s="1775" t="s">
        <v>2600</v>
      </c>
      <c r="D102" s="1775" t="s">
        <v>2601</v>
      </c>
      <c r="E102" s="1775" t="s">
        <v>2602</v>
      </c>
      <c r="F102" s="1775" t="s">
        <v>2270</v>
      </c>
      <c r="G102" s="1775" t="s">
        <v>2603</v>
      </c>
      <c r="H102" s="1775" t="s">
        <v>28</v>
      </c>
      <c r="I102" s="1775" t="s">
        <v>820</v>
      </c>
    </row>
    <row r="103" spans="1:9" ht="11.25" customHeight="1">
      <c r="A103" s="1775" t="s">
        <v>2259</v>
      </c>
      <c r="B103" s="1775" t="s">
        <v>16</v>
      </c>
      <c r="C103" s="1775" t="s">
        <v>2604</v>
      </c>
      <c r="D103" s="1775" t="s">
        <v>2605</v>
      </c>
      <c r="E103" s="1775" t="s">
        <v>2606</v>
      </c>
      <c r="F103" s="1775" t="s">
        <v>2357</v>
      </c>
      <c r="G103" s="1775" t="s">
        <v>28</v>
      </c>
      <c r="H103" s="1775" t="s">
        <v>28</v>
      </c>
      <c r="I103" s="1775" t="s">
        <v>820</v>
      </c>
    </row>
    <row r="104" spans="1:9" ht="11.25" customHeight="1">
      <c r="A104" s="1775" t="s">
        <v>2259</v>
      </c>
      <c r="B104" s="1775" t="s">
        <v>16</v>
      </c>
      <c r="C104" s="1775" t="s">
        <v>13</v>
      </c>
      <c r="D104" s="1775" t="s">
        <v>46</v>
      </c>
      <c r="E104" s="1775" t="s">
        <v>49</v>
      </c>
      <c r="F104" s="1775" t="s">
        <v>51</v>
      </c>
      <c r="G104" s="1775" t="s">
        <v>28</v>
      </c>
      <c r="H104" s="1775" t="s">
        <v>28</v>
      </c>
      <c r="I104" s="1775" t="s">
        <v>820</v>
      </c>
    </row>
    <row r="105" spans="1:9" ht="11.25" customHeight="1">
      <c r="A105" s="1775" t="s">
        <v>2259</v>
      </c>
      <c r="B105" s="1775" t="s">
        <v>16</v>
      </c>
      <c r="C105" s="1775" t="s">
        <v>2607</v>
      </c>
      <c r="D105" s="1775" t="s">
        <v>2608</v>
      </c>
      <c r="E105" s="1775" t="s">
        <v>2609</v>
      </c>
      <c r="F105" s="1775" t="s">
        <v>2289</v>
      </c>
      <c r="G105" s="1775" t="s">
        <v>28</v>
      </c>
      <c r="H105" s="1775" t="s">
        <v>28</v>
      </c>
      <c r="I105" s="1775" t="s">
        <v>820</v>
      </c>
    </row>
    <row r="106" spans="1:9" ht="11.25" customHeight="1">
      <c r="A106" s="1775" t="s">
        <v>2259</v>
      </c>
      <c r="B106" s="1775" t="s">
        <v>16</v>
      </c>
      <c r="C106" s="1775" t="s">
        <v>2610</v>
      </c>
      <c r="D106" s="1775" t="s">
        <v>2611</v>
      </c>
      <c r="E106" s="1775" t="s">
        <v>2612</v>
      </c>
      <c r="F106" s="1775" t="s">
        <v>2281</v>
      </c>
      <c r="G106" s="1775" t="s">
        <v>28</v>
      </c>
      <c r="H106" s="1775" t="s">
        <v>28</v>
      </c>
      <c r="I106" s="1775" t="s">
        <v>820</v>
      </c>
    </row>
    <row r="107" spans="1:9" ht="11.25" customHeight="1">
      <c r="A107" s="1775" t="s">
        <v>2259</v>
      </c>
      <c r="B107" s="1775" t="s">
        <v>16</v>
      </c>
      <c r="C107" s="1775" t="s">
        <v>2613</v>
      </c>
      <c r="D107" s="1775" t="s">
        <v>2614</v>
      </c>
      <c r="E107" s="1775" t="s">
        <v>2615</v>
      </c>
      <c r="F107" s="1775" t="s">
        <v>2364</v>
      </c>
      <c r="G107" s="1775" t="s">
        <v>28</v>
      </c>
      <c r="H107" s="1775" t="s">
        <v>28</v>
      </c>
      <c r="I107" s="1775" t="s">
        <v>820</v>
      </c>
    </row>
    <row r="108" spans="1:9" ht="11.25" customHeight="1">
      <c r="A108" s="1775" t="s">
        <v>2259</v>
      </c>
      <c r="B108" s="1775" t="s">
        <v>16</v>
      </c>
      <c r="C108" s="1775" t="s">
        <v>2616</v>
      </c>
      <c r="D108" s="1775" t="s">
        <v>2617</v>
      </c>
      <c r="E108" s="1775" t="s">
        <v>2618</v>
      </c>
      <c r="F108" s="1775" t="s">
        <v>2340</v>
      </c>
      <c r="G108" s="1775" t="s">
        <v>28</v>
      </c>
      <c r="H108" s="1775" t="s">
        <v>28</v>
      </c>
      <c r="I108" s="1775" t="s">
        <v>820</v>
      </c>
    </row>
    <row r="109" spans="1:9" ht="11.25" customHeight="1">
      <c r="A109" s="1775" t="s">
        <v>2259</v>
      </c>
      <c r="B109" s="1775" t="s">
        <v>16</v>
      </c>
      <c r="C109" s="1775" t="s">
        <v>2619</v>
      </c>
      <c r="D109" s="1775" t="s">
        <v>2620</v>
      </c>
      <c r="E109" s="1775" t="s">
        <v>2621</v>
      </c>
      <c r="F109" s="1775" t="s">
        <v>2622</v>
      </c>
      <c r="G109" s="1775" t="s">
        <v>28</v>
      </c>
      <c r="H109" s="1775" t="s">
        <v>28</v>
      </c>
      <c r="I109" s="1775" t="s">
        <v>820</v>
      </c>
    </row>
    <row r="110" spans="1:9" ht="11.25" customHeight="1">
      <c r="A110" s="1775" t="s">
        <v>2259</v>
      </c>
      <c r="B110" s="1775" t="s">
        <v>16</v>
      </c>
      <c r="C110" s="1775" t="s">
        <v>28</v>
      </c>
      <c r="D110" s="1775" t="s">
        <v>2623</v>
      </c>
      <c r="E110" s="1775" t="s">
        <v>2624</v>
      </c>
      <c r="F110" s="1775" t="s">
        <v>2270</v>
      </c>
      <c r="G110" s="1775" t="s">
        <v>28</v>
      </c>
      <c r="H110" s="1775" t="s">
        <v>28</v>
      </c>
      <c r="I110" s="1775" t="s">
        <v>820</v>
      </c>
    </row>
    <row r="111" spans="1:9" ht="11.25" customHeight="1">
      <c r="A111" s="1775" t="s">
        <v>2259</v>
      </c>
      <c r="B111" s="1775" t="s">
        <v>16</v>
      </c>
      <c r="C111" s="1775" t="s">
        <v>2625</v>
      </c>
      <c r="D111" s="1775" t="s">
        <v>2626</v>
      </c>
      <c r="E111" s="1775" t="s">
        <v>2627</v>
      </c>
      <c r="F111" s="1775" t="s">
        <v>2628</v>
      </c>
      <c r="G111" s="1775" t="s">
        <v>28</v>
      </c>
      <c r="H111" s="1775" t="s">
        <v>28</v>
      </c>
      <c r="I111" s="1775" t="s">
        <v>820</v>
      </c>
    </row>
    <row r="112" spans="1:9" ht="11.25" customHeight="1">
      <c r="A112" s="1775" t="s">
        <v>2259</v>
      </c>
      <c r="B112" s="1775" t="s">
        <v>16</v>
      </c>
      <c r="C112" s="1775" t="s">
        <v>2629</v>
      </c>
      <c r="D112" s="1775" t="s">
        <v>2630</v>
      </c>
      <c r="E112" s="1775" t="s">
        <v>2631</v>
      </c>
      <c r="F112" s="1775" t="s">
        <v>2296</v>
      </c>
      <c r="G112" s="1775" t="s">
        <v>28</v>
      </c>
      <c r="H112" s="1775" t="s">
        <v>28</v>
      </c>
      <c r="I112" s="1775" t="s">
        <v>820</v>
      </c>
    </row>
    <row r="113" spans="1:9" ht="11.25" customHeight="1">
      <c r="A113" s="1775" t="s">
        <v>2259</v>
      </c>
      <c r="B113" s="1775" t="s">
        <v>16</v>
      </c>
      <c r="C113" s="1775" t="s">
        <v>2632</v>
      </c>
      <c r="D113" s="1775" t="s">
        <v>2633</v>
      </c>
      <c r="E113" s="1775" t="s">
        <v>2634</v>
      </c>
      <c r="F113" s="1775" t="s">
        <v>2635</v>
      </c>
      <c r="G113" s="1775" t="s">
        <v>28</v>
      </c>
      <c r="H113" s="1775" t="s">
        <v>28</v>
      </c>
      <c r="I113" s="1775" t="s">
        <v>820</v>
      </c>
    </row>
    <row r="114" spans="1:9" ht="11.25" customHeight="1">
      <c r="A114" s="1775" t="s">
        <v>2259</v>
      </c>
      <c r="B114" s="1775" t="s">
        <v>16</v>
      </c>
      <c r="C114" s="1775" t="s">
        <v>2636</v>
      </c>
      <c r="D114" s="1775" t="s">
        <v>2637</v>
      </c>
      <c r="E114" s="1775" t="s">
        <v>2638</v>
      </c>
      <c r="F114" s="1775" t="s">
        <v>2384</v>
      </c>
      <c r="G114" s="1775" t="s">
        <v>28</v>
      </c>
      <c r="H114" s="1775" t="s">
        <v>28</v>
      </c>
      <c r="I114" s="1775" t="s">
        <v>820</v>
      </c>
    </row>
    <row r="115" spans="1:9" ht="11.25" customHeight="1">
      <c r="A115" s="1775" t="s">
        <v>2259</v>
      </c>
      <c r="B115" s="1775" t="s">
        <v>16</v>
      </c>
      <c r="C115" s="1775" t="s">
        <v>2639</v>
      </c>
      <c r="D115" s="1775" t="s">
        <v>2640</v>
      </c>
      <c r="E115" s="1775" t="s">
        <v>2641</v>
      </c>
      <c r="F115" s="1775" t="s">
        <v>2289</v>
      </c>
      <c r="G115" s="1775" t="s">
        <v>28</v>
      </c>
      <c r="H115" s="1775" t="s">
        <v>28</v>
      </c>
      <c r="I115" s="1775" t="s">
        <v>820</v>
      </c>
    </row>
    <row r="116" spans="1:9" ht="11.25" customHeight="1">
      <c r="A116" s="1775" t="s">
        <v>2259</v>
      </c>
      <c r="B116" s="1775" t="s">
        <v>16</v>
      </c>
      <c r="C116" s="1775" t="s">
        <v>2642</v>
      </c>
      <c r="D116" s="1775" t="s">
        <v>2643</v>
      </c>
      <c r="E116" s="1775" t="s">
        <v>2644</v>
      </c>
      <c r="F116" s="1775" t="s">
        <v>2622</v>
      </c>
      <c r="G116" s="1775" t="s">
        <v>2645</v>
      </c>
      <c r="H116" s="1775" t="s">
        <v>28</v>
      </c>
      <c r="I116" s="1775" t="s">
        <v>820</v>
      </c>
    </row>
    <row r="117" spans="1:9" ht="11.25" customHeight="1">
      <c r="A117" s="1775" t="s">
        <v>2259</v>
      </c>
      <c r="B117" s="1775" t="s">
        <v>16</v>
      </c>
      <c r="C117" s="1775" t="s">
        <v>2646</v>
      </c>
      <c r="D117" s="1775" t="s">
        <v>2647</v>
      </c>
      <c r="E117" s="1775" t="s">
        <v>2644</v>
      </c>
      <c r="F117" s="1775" t="s">
        <v>2648</v>
      </c>
      <c r="G117" s="1775" t="s">
        <v>2649</v>
      </c>
      <c r="H117" s="1775" t="s">
        <v>28</v>
      </c>
      <c r="I117" s="1775" t="s">
        <v>820</v>
      </c>
    </row>
    <row r="118" spans="1:9" ht="11.25" customHeight="1">
      <c r="A118" s="1775" t="s">
        <v>2259</v>
      </c>
      <c r="B118" s="1775" t="s">
        <v>16</v>
      </c>
      <c r="C118" s="1775" t="s">
        <v>2650</v>
      </c>
      <c r="D118" s="1775" t="s">
        <v>2651</v>
      </c>
      <c r="E118" s="1775" t="s">
        <v>2652</v>
      </c>
      <c r="F118" s="1775" t="s">
        <v>2653</v>
      </c>
      <c r="G118" s="1775" t="s">
        <v>28</v>
      </c>
      <c r="H118" s="1775" t="s">
        <v>28</v>
      </c>
      <c r="I118" s="1775" t="s">
        <v>820</v>
      </c>
    </row>
    <row r="119" spans="1:9" ht="11.25" customHeight="1">
      <c r="A119" s="1775" t="s">
        <v>2259</v>
      </c>
      <c r="B119" s="1775" t="s">
        <v>16</v>
      </c>
      <c r="C119" s="1775" t="s">
        <v>2654</v>
      </c>
      <c r="D119" s="1775" t="s">
        <v>2655</v>
      </c>
      <c r="E119" s="1775" t="s">
        <v>2656</v>
      </c>
      <c r="F119" s="1775" t="s">
        <v>2657</v>
      </c>
      <c r="G119" s="1775" t="s">
        <v>28</v>
      </c>
      <c r="H119" s="1775" t="s">
        <v>28</v>
      </c>
      <c r="I119" s="1775" t="s">
        <v>820</v>
      </c>
    </row>
    <row r="120" spans="1:9" ht="11.25" customHeight="1">
      <c r="A120" s="1775" t="s">
        <v>2259</v>
      </c>
      <c r="B120" s="1775" t="s">
        <v>16</v>
      </c>
      <c r="C120" s="1775" t="s">
        <v>2265</v>
      </c>
      <c r="D120" s="1775" t="s">
        <v>2261</v>
      </c>
      <c r="E120" s="1775" t="s">
        <v>2262</v>
      </c>
      <c r="F120" s="1775" t="s">
        <v>2266</v>
      </c>
      <c r="G120" s="1775" t="s">
        <v>28</v>
      </c>
      <c r="H120" s="1775" t="s">
        <v>28</v>
      </c>
      <c r="I120" s="1775" t="s">
        <v>906</v>
      </c>
    </row>
    <row r="121" spans="1:9" ht="11.25" customHeight="1">
      <c r="A121" s="1775" t="s">
        <v>2259</v>
      </c>
      <c r="B121" s="1775" t="s">
        <v>16</v>
      </c>
      <c r="C121" s="1775" t="s">
        <v>2271</v>
      </c>
      <c r="D121" s="1775" t="s">
        <v>2272</v>
      </c>
      <c r="E121" s="1775" t="s">
        <v>2273</v>
      </c>
      <c r="F121" s="1775" t="s">
        <v>2270</v>
      </c>
      <c r="G121" s="1775" t="s">
        <v>28</v>
      </c>
      <c r="H121" s="1775" t="s">
        <v>28</v>
      </c>
      <c r="I121" s="1775" t="s">
        <v>906</v>
      </c>
    </row>
    <row r="122" spans="1:9" ht="11.25" customHeight="1">
      <c r="A122" s="1775" t="s">
        <v>2259</v>
      </c>
      <c r="B122" s="1775" t="s">
        <v>16</v>
      </c>
      <c r="C122" s="1775" t="s">
        <v>2274</v>
      </c>
      <c r="D122" s="1775" t="s">
        <v>2275</v>
      </c>
      <c r="E122" s="1775" t="s">
        <v>2276</v>
      </c>
      <c r="F122" s="1775" t="s">
        <v>2277</v>
      </c>
      <c r="G122" s="1775" t="s">
        <v>28</v>
      </c>
      <c r="H122" s="1775" t="s">
        <v>28</v>
      </c>
      <c r="I122" s="1775" t="s">
        <v>906</v>
      </c>
    </row>
    <row r="123" spans="1:9" ht="11.25" customHeight="1">
      <c r="A123" s="1775" t="s">
        <v>2259</v>
      </c>
      <c r="B123" s="1775" t="s">
        <v>16</v>
      </c>
      <c r="C123" s="1775" t="s">
        <v>2282</v>
      </c>
      <c r="D123" s="1775" t="s">
        <v>2283</v>
      </c>
      <c r="E123" s="1775" t="s">
        <v>2284</v>
      </c>
      <c r="F123" s="1775" t="s">
        <v>2285</v>
      </c>
      <c r="G123" s="1775" t="s">
        <v>28</v>
      </c>
      <c r="H123" s="1775" t="s">
        <v>28</v>
      </c>
      <c r="I123" s="1775" t="s">
        <v>906</v>
      </c>
    </row>
    <row r="124" spans="1:9" ht="11.25" customHeight="1">
      <c r="A124" s="1775" t="s">
        <v>2259</v>
      </c>
      <c r="B124" s="1775" t="s">
        <v>16</v>
      </c>
      <c r="C124" s="1775" t="s">
        <v>2286</v>
      </c>
      <c r="D124" s="1775" t="s">
        <v>2287</v>
      </c>
      <c r="E124" s="1775" t="s">
        <v>2288</v>
      </c>
      <c r="F124" s="1775" t="s">
        <v>2289</v>
      </c>
      <c r="G124" s="1775" t="s">
        <v>28</v>
      </c>
      <c r="H124" s="1775" t="s">
        <v>28</v>
      </c>
      <c r="I124" s="1775" t="s">
        <v>906</v>
      </c>
    </row>
    <row r="125" spans="1:9" ht="11.25" customHeight="1">
      <c r="A125" s="1775" t="s">
        <v>2259</v>
      </c>
      <c r="B125" s="1775" t="s">
        <v>16</v>
      </c>
      <c r="C125" s="1775" t="s">
        <v>2290</v>
      </c>
      <c r="D125" s="1775" t="s">
        <v>2291</v>
      </c>
      <c r="E125" s="1775" t="s">
        <v>2276</v>
      </c>
      <c r="F125" s="1775" t="s">
        <v>2292</v>
      </c>
      <c r="G125" s="1775" t="s">
        <v>28</v>
      </c>
      <c r="H125" s="1775" t="s">
        <v>28</v>
      </c>
      <c r="I125" s="1775" t="s">
        <v>906</v>
      </c>
    </row>
    <row r="126" spans="1:9" ht="11.25" customHeight="1">
      <c r="A126" s="1775" t="s">
        <v>2259</v>
      </c>
      <c r="B126" s="1775" t="s">
        <v>16</v>
      </c>
      <c r="C126" s="1775" t="s">
        <v>2305</v>
      </c>
      <c r="D126" s="1775" t="s">
        <v>2306</v>
      </c>
      <c r="E126" s="1775" t="s">
        <v>2307</v>
      </c>
      <c r="F126" s="1775" t="s">
        <v>2308</v>
      </c>
      <c r="G126" s="1775" t="s">
        <v>28</v>
      </c>
      <c r="H126" s="1775" t="s">
        <v>2309</v>
      </c>
      <c r="I126" s="1775" t="s">
        <v>906</v>
      </c>
    </row>
    <row r="127" spans="1:9" ht="11.25" customHeight="1">
      <c r="A127" s="1775" t="s">
        <v>2259</v>
      </c>
      <c r="B127" s="1775" t="s">
        <v>16</v>
      </c>
      <c r="C127" s="1775" t="s">
        <v>2318</v>
      </c>
      <c r="D127" s="1775" t="s">
        <v>2319</v>
      </c>
      <c r="E127" s="1775" t="s">
        <v>2320</v>
      </c>
      <c r="F127" s="1775" t="s">
        <v>2321</v>
      </c>
      <c r="G127" s="1775" t="s">
        <v>28</v>
      </c>
      <c r="H127" s="1775" t="s">
        <v>28</v>
      </c>
      <c r="I127" s="1775" t="s">
        <v>906</v>
      </c>
    </row>
    <row r="128" spans="1:9" ht="11.25" customHeight="1">
      <c r="A128" s="1775" t="s">
        <v>2259</v>
      </c>
      <c r="B128" s="1775" t="s">
        <v>16</v>
      </c>
      <c r="C128" s="1775" t="s">
        <v>2334</v>
      </c>
      <c r="D128" s="1775" t="s">
        <v>2335</v>
      </c>
      <c r="E128" s="1775" t="s">
        <v>2336</v>
      </c>
      <c r="F128" s="1775" t="s">
        <v>2289</v>
      </c>
      <c r="G128" s="1775" t="s">
        <v>28</v>
      </c>
      <c r="H128" s="1775" t="s">
        <v>28</v>
      </c>
      <c r="I128" s="1775" t="s">
        <v>906</v>
      </c>
    </row>
    <row r="129" spans="1:9" ht="11.25" customHeight="1">
      <c r="A129" s="1775" t="s">
        <v>2259</v>
      </c>
      <c r="B129" s="1775" t="s">
        <v>16</v>
      </c>
      <c r="C129" s="1775" t="s">
        <v>2337</v>
      </c>
      <c r="D129" s="1775" t="s">
        <v>2338</v>
      </c>
      <c r="E129" s="1775" t="s">
        <v>2339</v>
      </c>
      <c r="F129" s="1775" t="s">
        <v>2340</v>
      </c>
      <c r="G129" s="1775" t="s">
        <v>28</v>
      </c>
      <c r="H129" s="1775" t="s">
        <v>28</v>
      </c>
      <c r="I129" s="1775" t="s">
        <v>906</v>
      </c>
    </row>
    <row r="130" spans="1:9" ht="11.25" customHeight="1">
      <c r="A130" s="1775" t="s">
        <v>2259</v>
      </c>
      <c r="B130" s="1775" t="s">
        <v>16</v>
      </c>
      <c r="C130" s="1775" t="s">
        <v>2341</v>
      </c>
      <c r="D130" s="1775" t="s">
        <v>2342</v>
      </c>
      <c r="E130" s="1775" t="s">
        <v>2343</v>
      </c>
      <c r="F130" s="1775" t="s">
        <v>2289</v>
      </c>
      <c r="G130" s="1775" t="s">
        <v>28</v>
      </c>
      <c r="H130" s="1775" t="s">
        <v>28</v>
      </c>
      <c r="I130" s="1775" t="s">
        <v>906</v>
      </c>
    </row>
    <row r="131" spans="1:9" ht="11.25" customHeight="1">
      <c r="A131" s="1775" t="s">
        <v>2259</v>
      </c>
      <c r="B131" s="1775" t="s">
        <v>16</v>
      </c>
      <c r="C131" s="1775" t="s">
        <v>28</v>
      </c>
      <c r="D131" s="1775" t="s">
        <v>2352</v>
      </c>
      <c r="E131" s="1775" t="s">
        <v>2353</v>
      </c>
      <c r="F131" s="1775" t="s">
        <v>2289</v>
      </c>
      <c r="G131" s="1775" t="s">
        <v>28</v>
      </c>
      <c r="H131" s="1775" t="s">
        <v>28</v>
      </c>
      <c r="I131" s="1775" t="s">
        <v>906</v>
      </c>
    </row>
    <row r="132" spans="1:9" ht="11.25" customHeight="1">
      <c r="A132" s="1775" t="s">
        <v>2259</v>
      </c>
      <c r="B132" s="1775" t="s">
        <v>16</v>
      </c>
      <c r="C132" s="1775" t="s">
        <v>2361</v>
      </c>
      <c r="D132" s="1775" t="s">
        <v>2362</v>
      </c>
      <c r="E132" s="1775" t="s">
        <v>2363</v>
      </c>
      <c r="F132" s="1775" t="s">
        <v>2364</v>
      </c>
      <c r="G132" s="1775" t="s">
        <v>28</v>
      </c>
      <c r="H132" s="1775" t="s">
        <v>28</v>
      </c>
      <c r="I132" s="1775" t="s">
        <v>906</v>
      </c>
    </row>
    <row r="133" spans="1:9" ht="11.25" customHeight="1">
      <c r="A133" s="1775" t="s">
        <v>2259</v>
      </c>
      <c r="B133" s="1775" t="s">
        <v>16</v>
      </c>
      <c r="C133" s="1775" t="s">
        <v>2372</v>
      </c>
      <c r="D133" s="1775" t="s">
        <v>2373</v>
      </c>
      <c r="E133" s="1775" t="s">
        <v>2374</v>
      </c>
      <c r="F133" s="1775" t="s">
        <v>2375</v>
      </c>
      <c r="G133" s="1775" t="s">
        <v>2376</v>
      </c>
      <c r="H133" s="1775" t="s">
        <v>28</v>
      </c>
      <c r="I133" s="1775" t="s">
        <v>906</v>
      </c>
    </row>
    <row r="134" spans="1:9" ht="11.25" customHeight="1">
      <c r="A134" s="1775" t="s">
        <v>2259</v>
      </c>
      <c r="B134" s="1775" t="s">
        <v>16</v>
      </c>
      <c r="C134" s="1775" t="s">
        <v>2381</v>
      </c>
      <c r="D134" s="1775" t="s">
        <v>2382</v>
      </c>
      <c r="E134" s="1775" t="s">
        <v>2383</v>
      </c>
      <c r="F134" s="1775" t="s">
        <v>2384</v>
      </c>
      <c r="G134" s="1775" t="s">
        <v>2385</v>
      </c>
      <c r="H134" s="1775" t="s">
        <v>28</v>
      </c>
      <c r="I134" s="1775" t="s">
        <v>906</v>
      </c>
    </row>
    <row r="135" spans="1:9" ht="11.25" customHeight="1">
      <c r="A135" s="1775" t="s">
        <v>2259</v>
      </c>
      <c r="B135" s="1775" t="s">
        <v>16</v>
      </c>
      <c r="C135" s="1775" t="s">
        <v>2386</v>
      </c>
      <c r="D135" s="1775" t="s">
        <v>2382</v>
      </c>
      <c r="E135" s="1775" t="s">
        <v>2387</v>
      </c>
      <c r="F135" s="1775" t="s">
        <v>2388</v>
      </c>
      <c r="G135" s="1775" t="s">
        <v>28</v>
      </c>
      <c r="H135" s="1775" t="s">
        <v>28</v>
      </c>
      <c r="I135" s="1775" t="s">
        <v>906</v>
      </c>
    </row>
    <row r="136" spans="1:9" ht="11.25" customHeight="1">
      <c r="A136" s="1775" t="s">
        <v>2259</v>
      </c>
      <c r="B136" s="1775" t="s">
        <v>16</v>
      </c>
      <c r="C136" s="1775" t="s">
        <v>2389</v>
      </c>
      <c r="D136" s="1775" t="s">
        <v>2390</v>
      </c>
      <c r="E136" s="1775" t="s">
        <v>2391</v>
      </c>
      <c r="F136" s="1775" t="s">
        <v>2270</v>
      </c>
      <c r="G136" s="1775" t="s">
        <v>28</v>
      </c>
      <c r="H136" s="1775" t="s">
        <v>28</v>
      </c>
      <c r="I136" s="1775" t="s">
        <v>906</v>
      </c>
    </row>
    <row r="137" spans="1:9" ht="11.25" customHeight="1">
      <c r="A137" s="1775" t="s">
        <v>2259</v>
      </c>
      <c r="B137" s="1775" t="s">
        <v>16</v>
      </c>
      <c r="C137" s="1775" t="s">
        <v>2395</v>
      </c>
      <c r="D137" s="1775" t="s">
        <v>2396</v>
      </c>
      <c r="E137" s="1775" t="s">
        <v>2397</v>
      </c>
      <c r="F137" s="1775" t="s">
        <v>2347</v>
      </c>
      <c r="G137" s="1775" t="s">
        <v>2398</v>
      </c>
      <c r="H137" s="1775" t="s">
        <v>28</v>
      </c>
      <c r="I137" s="1775" t="s">
        <v>906</v>
      </c>
    </row>
    <row r="138" spans="1:9" ht="11.25" customHeight="1">
      <c r="A138" s="1775" t="s">
        <v>2259</v>
      </c>
      <c r="B138" s="1775" t="s">
        <v>16</v>
      </c>
      <c r="C138" s="1775" t="s">
        <v>2402</v>
      </c>
      <c r="D138" s="1775" t="s">
        <v>2403</v>
      </c>
      <c r="E138" s="1775" t="s">
        <v>2404</v>
      </c>
      <c r="F138" s="1775" t="s">
        <v>2340</v>
      </c>
      <c r="G138" s="1775" t="s">
        <v>28</v>
      </c>
      <c r="H138" s="1775" t="s">
        <v>28</v>
      </c>
      <c r="I138" s="1775" t="s">
        <v>906</v>
      </c>
    </row>
    <row r="139" spans="1:9" ht="11.25" customHeight="1">
      <c r="A139" s="1775" t="s">
        <v>2259</v>
      </c>
      <c r="B139" s="1775" t="s">
        <v>16</v>
      </c>
      <c r="C139" s="1775" t="s">
        <v>2418</v>
      </c>
      <c r="D139" s="1775" t="s">
        <v>2419</v>
      </c>
      <c r="E139" s="1775" t="s">
        <v>2420</v>
      </c>
      <c r="F139" s="1775" t="s">
        <v>2421</v>
      </c>
      <c r="G139" s="1775" t="s">
        <v>28</v>
      </c>
      <c r="H139" s="1775" t="s">
        <v>28</v>
      </c>
      <c r="I139" s="1775" t="s">
        <v>906</v>
      </c>
    </row>
    <row r="140" spans="1:9" ht="11.25" customHeight="1">
      <c r="A140" s="1775" t="s">
        <v>2259</v>
      </c>
      <c r="B140" s="1775" t="s">
        <v>16</v>
      </c>
      <c r="C140" s="1775" t="s">
        <v>2437</v>
      </c>
      <c r="D140" s="1775" t="s">
        <v>2438</v>
      </c>
      <c r="E140" s="1775" t="s">
        <v>2439</v>
      </c>
      <c r="F140" s="1775" t="s">
        <v>2351</v>
      </c>
      <c r="G140" s="1775" t="s">
        <v>28</v>
      </c>
      <c r="H140" s="1775" t="s">
        <v>28</v>
      </c>
      <c r="I140" s="1775" t="s">
        <v>906</v>
      </c>
    </row>
    <row r="141" spans="1:9" ht="11.25" customHeight="1">
      <c r="A141" s="1775" t="s">
        <v>2259</v>
      </c>
      <c r="B141" s="1775" t="s">
        <v>16</v>
      </c>
      <c r="C141" s="1775" t="s">
        <v>2440</v>
      </c>
      <c r="D141" s="1775" t="s">
        <v>2441</v>
      </c>
      <c r="E141" s="1775" t="s">
        <v>2442</v>
      </c>
      <c r="F141" s="1775" t="s">
        <v>2296</v>
      </c>
      <c r="G141" s="1775" t="s">
        <v>28</v>
      </c>
      <c r="H141" s="1775" t="s">
        <v>2443</v>
      </c>
      <c r="I141" s="1775" t="s">
        <v>906</v>
      </c>
    </row>
    <row r="142" spans="1:9" ht="11.25" customHeight="1">
      <c r="A142" s="1775" t="s">
        <v>2259</v>
      </c>
      <c r="B142" s="1775" t="s">
        <v>16</v>
      </c>
      <c r="C142" s="1775" t="s">
        <v>2458</v>
      </c>
      <c r="D142" s="1775" t="s">
        <v>2459</v>
      </c>
      <c r="E142" s="1775" t="s">
        <v>2460</v>
      </c>
      <c r="F142" s="1775" t="s">
        <v>2340</v>
      </c>
      <c r="G142" s="1775" t="s">
        <v>28</v>
      </c>
      <c r="H142" s="1775" t="s">
        <v>28</v>
      </c>
      <c r="I142" s="1775" t="s">
        <v>906</v>
      </c>
    </row>
    <row r="143" spans="1:9" ht="11.25" customHeight="1">
      <c r="A143" s="1775" t="s">
        <v>2259</v>
      </c>
      <c r="B143" s="1775" t="s">
        <v>16</v>
      </c>
      <c r="C143" s="1775" t="s">
        <v>2464</v>
      </c>
      <c r="D143" s="1775" t="s">
        <v>2465</v>
      </c>
      <c r="E143" s="1775" t="s">
        <v>2466</v>
      </c>
      <c r="F143" s="1775" t="s">
        <v>2340</v>
      </c>
      <c r="G143" s="1775" t="s">
        <v>2467</v>
      </c>
      <c r="H143" s="1775" t="s">
        <v>28</v>
      </c>
      <c r="I143" s="1775" t="s">
        <v>906</v>
      </c>
    </row>
    <row r="144" spans="1:9" ht="11.25" customHeight="1">
      <c r="A144" s="1775" t="s">
        <v>2259</v>
      </c>
      <c r="B144" s="1775" t="s">
        <v>16</v>
      </c>
      <c r="C144" s="1775" t="s">
        <v>2494</v>
      </c>
      <c r="D144" s="1775" t="s">
        <v>2495</v>
      </c>
      <c r="E144" s="1775" t="s">
        <v>2496</v>
      </c>
      <c r="F144" s="1775" t="s">
        <v>2340</v>
      </c>
      <c r="G144" s="1775" t="s">
        <v>28</v>
      </c>
      <c r="H144" s="1775" t="s">
        <v>28</v>
      </c>
      <c r="I144" s="1775" t="s">
        <v>906</v>
      </c>
    </row>
    <row r="145" spans="1:9" ht="11.25" customHeight="1">
      <c r="A145" s="1775" t="s">
        <v>2259</v>
      </c>
      <c r="B145" s="1775" t="s">
        <v>16</v>
      </c>
      <c r="C145" s="1775" t="s">
        <v>2497</v>
      </c>
      <c r="D145" s="1775" t="s">
        <v>2498</v>
      </c>
      <c r="E145" s="1775" t="s">
        <v>2499</v>
      </c>
      <c r="F145" s="1775" t="s">
        <v>2270</v>
      </c>
      <c r="G145" s="1775" t="s">
        <v>28</v>
      </c>
      <c r="H145" s="1775" t="s">
        <v>28</v>
      </c>
      <c r="I145" s="1775" t="s">
        <v>906</v>
      </c>
    </row>
    <row r="146" spans="1:9" ht="11.25" customHeight="1">
      <c r="A146" s="1775" t="s">
        <v>2259</v>
      </c>
      <c r="B146" s="1775" t="s">
        <v>16</v>
      </c>
      <c r="C146" s="1775" t="s">
        <v>2515</v>
      </c>
      <c r="D146" s="1775" t="s">
        <v>2516</v>
      </c>
      <c r="E146" s="1775" t="s">
        <v>2517</v>
      </c>
      <c r="F146" s="1775" t="s">
        <v>2340</v>
      </c>
      <c r="G146" s="1775" t="s">
        <v>28</v>
      </c>
      <c r="H146" s="1775" t="s">
        <v>28</v>
      </c>
      <c r="I146" s="1775" t="s">
        <v>906</v>
      </c>
    </row>
    <row r="147" spans="1:9" ht="11.25" customHeight="1">
      <c r="A147" s="1775" t="s">
        <v>2259</v>
      </c>
      <c r="B147" s="1775" t="s">
        <v>16</v>
      </c>
      <c r="C147" s="1775" t="s">
        <v>2518</v>
      </c>
      <c r="D147" s="1775" t="s">
        <v>2519</v>
      </c>
      <c r="E147" s="1775" t="s">
        <v>2520</v>
      </c>
      <c r="F147" s="1775" t="s">
        <v>2388</v>
      </c>
      <c r="G147" s="1775" t="s">
        <v>28</v>
      </c>
      <c r="H147" s="1775" t="s">
        <v>28</v>
      </c>
      <c r="I147" s="1775" t="s">
        <v>906</v>
      </c>
    </row>
    <row r="148" spans="1:9" ht="11.25" customHeight="1">
      <c r="A148" s="1775" t="s">
        <v>2259</v>
      </c>
      <c r="B148" s="1775" t="s">
        <v>16</v>
      </c>
      <c r="C148" s="1775" t="s">
        <v>2521</v>
      </c>
      <c r="D148" s="1775" t="s">
        <v>2522</v>
      </c>
      <c r="E148" s="1775" t="s">
        <v>2523</v>
      </c>
      <c r="F148" s="1775" t="s">
        <v>2347</v>
      </c>
      <c r="G148" s="1775" t="s">
        <v>28</v>
      </c>
      <c r="H148" s="1775" t="s">
        <v>28</v>
      </c>
      <c r="I148" s="1775" t="s">
        <v>906</v>
      </c>
    </row>
    <row r="149" spans="1:9" ht="11.25" customHeight="1">
      <c r="A149" s="1775" t="s">
        <v>2259</v>
      </c>
      <c r="B149" s="1775" t="s">
        <v>16</v>
      </c>
      <c r="C149" s="1775" t="s">
        <v>2524</v>
      </c>
      <c r="D149" s="1775" t="s">
        <v>2525</v>
      </c>
      <c r="E149" s="1775" t="s">
        <v>2526</v>
      </c>
      <c r="F149" s="1775" t="s">
        <v>2289</v>
      </c>
      <c r="G149" s="1775" t="s">
        <v>28</v>
      </c>
      <c r="H149" s="1775" t="s">
        <v>28</v>
      </c>
      <c r="I149" s="1775" t="s">
        <v>906</v>
      </c>
    </row>
    <row r="150" spans="1:9" ht="11.25" customHeight="1">
      <c r="A150" s="1775" t="s">
        <v>2259</v>
      </c>
      <c r="B150" s="1775" t="s">
        <v>16</v>
      </c>
      <c r="C150" s="1775" t="s">
        <v>2530</v>
      </c>
      <c r="D150" s="1775" t="s">
        <v>2531</v>
      </c>
      <c r="E150" s="1775" t="s">
        <v>2532</v>
      </c>
      <c r="F150" s="1775" t="s">
        <v>2296</v>
      </c>
      <c r="G150" s="1775" t="s">
        <v>28</v>
      </c>
      <c r="H150" s="1775" t="s">
        <v>28</v>
      </c>
      <c r="I150" s="1775" t="s">
        <v>906</v>
      </c>
    </row>
    <row r="151" spans="1:9" ht="11.25" customHeight="1">
      <c r="A151" s="1775" t="s">
        <v>2259</v>
      </c>
      <c r="B151" s="1775" t="s">
        <v>16</v>
      </c>
      <c r="C151" s="1775" t="s">
        <v>2533</v>
      </c>
      <c r="D151" s="1775" t="s">
        <v>2534</v>
      </c>
      <c r="E151" s="1775" t="s">
        <v>2535</v>
      </c>
      <c r="F151" s="1775" t="s">
        <v>2270</v>
      </c>
      <c r="G151" s="1775" t="s">
        <v>28</v>
      </c>
      <c r="H151" s="1775" t="s">
        <v>28</v>
      </c>
      <c r="I151" s="1775" t="s">
        <v>906</v>
      </c>
    </row>
    <row r="152" spans="1:9" ht="11.25" customHeight="1">
      <c r="A152" s="1775" t="s">
        <v>2259</v>
      </c>
      <c r="B152" s="1775" t="s">
        <v>16</v>
      </c>
      <c r="C152" s="1775" t="s">
        <v>2540</v>
      </c>
      <c r="D152" s="1775" t="s">
        <v>2541</v>
      </c>
      <c r="E152" s="1775" t="s">
        <v>2542</v>
      </c>
      <c r="F152" s="1775" t="s">
        <v>2364</v>
      </c>
      <c r="G152" s="1775" t="s">
        <v>28</v>
      </c>
      <c r="H152" s="1775" t="s">
        <v>28</v>
      </c>
      <c r="I152" s="1775" t="s">
        <v>906</v>
      </c>
    </row>
    <row r="153" spans="1:9" ht="11.25" customHeight="1">
      <c r="A153" s="1775" t="s">
        <v>2259</v>
      </c>
      <c r="B153" s="1775" t="s">
        <v>16</v>
      </c>
      <c r="C153" s="1775" t="s">
        <v>2543</v>
      </c>
      <c r="D153" s="1775" t="s">
        <v>2544</v>
      </c>
      <c r="E153" s="1775" t="s">
        <v>2545</v>
      </c>
      <c r="F153" s="1775" t="s">
        <v>2546</v>
      </c>
      <c r="G153" s="1775" t="s">
        <v>28</v>
      </c>
      <c r="H153" s="1775" t="s">
        <v>28</v>
      </c>
      <c r="I153" s="1775" t="s">
        <v>906</v>
      </c>
    </row>
    <row r="154" spans="1:9" ht="11.25" customHeight="1">
      <c r="A154" s="1775" t="s">
        <v>2259</v>
      </c>
      <c r="B154" s="1775" t="s">
        <v>16</v>
      </c>
      <c r="C154" s="1775" t="s">
        <v>2547</v>
      </c>
      <c r="D154" s="1775" t="s">
        <v>2548</v>
      </c>
      <c r="E154" s="1775" t="s">
        <v>2549</v>
      </c>
      <c r="F154" s="1775" t="s">
        <v>2384</v>
      </c>
      <c r="G154" s="1775" t="s">
        <v>28</v>
      </c>
      <c r="H154" s="1775" t="s">
        <v>28</v>
      </c>
      <c r="I154" s="1775" t="s">
        <v>906</v>
      </c>
    </row>
    <row r="155" spans="1:9" ht="11.25" customHeight="1">
      <c r="A155" s="1775" t="s">
        <v>2259</v>
      </c>
      <c r="B155" s="1775" t="s">
        <v>16</v>
      </c>
      <c r="C155" s="1775" t="s">
        <v>2557</v>
      </c>
      <c r="D155" s="1775" t="s">
        <v>2558</v>
      </c>
      <c r="E155" s="1775" t="s">
        <v>2559</v>
      </c>
      <c r="F155" s="1775" t="s">
        <v>2296</v>
      </c>
      <c r="G155" s="1775" t="s">
        <v>28</v>
      </c>
      <c r="H155" s="1775" t="s">
        <v>28</v>
      </c>
      <c r="I155" s="1775" t="s">
        <v>906</v>
      </c>
    </row>
    <row r="156" spans="1:9" ht="11.25" customHeight="1">
      <c r="A156" s="1775" t="s">
        <v>2259</v>
      </c>
      <c r="B156" s="1775" t="s">
        <v>16</v>
      </c>
      <c r="C156" s="1775" t="s">
        <v>2563</v>
      </c>
      <c r="D156" s="1775" t="s">
        <v>2564</v>
      </c>
      <c r="E156" s="1775" t="s">
        <v>2565</v>
      </c>
      <c r="F156" s="1775" t="s">
        <v>2351</v>
      </c>
      <c r="G156" s="1775" t="s">
        <v>28</v>
      </c>
      <c r="H156" s="1775" t="s">
        <v>28</v>
      </c>
      <c r="I156" s="1775" t="s">
        <v>906</v>
      </c>
    </row>
    <row r="157" spans="1:9" ht="11.25" customHeight="1">
      <c r="A157" s="1775" t="s">
        <v>2259</v>
      </c>
      <c r="B157" s="1775" t="s">
        <v>16</v>
      </c>
      <c r="C157" s="1775" t="s">
        <v>2566</v>
      </c>
      <c r="D157" s="1775" t="s">
        <v>2567</v>
      </c>
      <c r="E157" s="1775" t="s">
        <v>2568</v>
      </c>
      <c r="F157" s="1775" t="s">
        <v>2289</v>
      </c>
      <c r="G157" s="1775" t="s">
        <v>28</v>
      </c>
      <c r="H157" s="1775" t="s">
        <v>28</v>
      </c>
      <c r="I157" s="1775" t="s">
        <v>906</v>
      </c>
    </row>
    <row r="158" spans="1:9" ht="11.25" customHeight="1">
      <c r="A158" s="1775" t="s">
        <v>2259</v>
      </c>
      <c r="B158" s="1775" t="s">
        <v>16</v>
      </c>
      <c r="C158" s="1775" t="s">
        <v>2569</v>
      </c>
      <c r="D158" s="1775" t="s">
        <v>2570</v>
      </c>
      <c r="E158" s="1775" t="s">
        <v>2571</v>
      </c>
      <c r="F158" s="1775" t="s">
        <v>2296</v>
      </c>
      <c r="G158" s="1775" t="s">
        <v>28</v>
      </c>
      <c r="H158" s="1775" t="s">
        <v>28</v>
      </c>
      <c r="I158" s="1775" t="s">
        <v>906</v>
      </c>
    </row>
    <row r="159" spans="1:9" ht="11.25" customHeight="1">
      <c r="A159" s="1775" t="s">
        <v>2259</v>
      </c>
      <c r="B159" s="1775" t="s">
        <v>16</v>
      </c>
      <c r="C159" s="1775" t="s">
        <v>2572</v>
      </c>
      <c r="D159" s="1775" t="s">
        <v>2573</v>
      </c>
      <c r="E159" s="1775" t="s">
        <v>2574</v>
      </c>
      <c r="F159" s="1775" t="s">
        <v>2296</v>
      </c>
      <c r="G159" s="1775" t="s">
        <v>2575</v>
      </c>
      <c r="H159" s="1775" t="s">
        <v>28</v>
      </c>
      <c r="I159" s="1775" t="s">
        <v>906</v>
      </c>
    </row>
    <row r="160" spans="1:9" ht="11.25" customHeight="1">
      <c r="A160" s="1775" t="s">
        <v>2259</v>
      </c>
      <c r="B160" s="1775" t="s">
        <v>16</v>
      </c>
      <c r="C160" s="1775" t="s">
        <v>2582</v>
      </c>
      <c r="D160" s="1775" t="s">
        <v>2583</v>
      </c>
      <c r="E160" s="1775" t="s">
        <v>2584</v>
      </c>
      <c r="F160" s="1775" t="s">
        <v>2412</v>
      </c>
      <c r="G160" s="1775" t="s">
        <v>28</v>
      </c>
      <c r="H160" s="1775" t="s">
        <v>28</v>
      </c>
      <c r="I160" s="1775" t="s">
        <v>906</v>
      </c>
    </row>
    <row r="161" spans="1:9" ht="11.25" customHeight="1">
      <c r="A161" s="1775" t="s">
        <v>2259</v>
      </c>
      <c r="B161" s="1775" t="s">
        <v>16</v>
      </c>
      <c r="C161" s="1775" t="s">
        <v>2585</v>
      </c>
      <c r="D161" s="1775" t="s">
        <v>2586</v>
      </c>
      <c r="E161" s="1775" t="s">
        <v>2587</v>
      </c>
      <c r="F161" s="1775" t="s">
        <v>2296</v>
      </c>
      <c r="G161" s="1775" t="s">
        <v>28</v>
      </c>
      <c r="H161" s="1775" t="s">
        <v>28</v>
      </c>
      <c r="I161" s="1775" t="s">
        <v>906</v>
      </c>
    </row>
    <row r="162" spans="1:9" ht="11.25" customHeight="1">
      <c r="A162" s="1775" t="s">
        <v>2259</v>
      </c>
      <c r="B162" s="1775" t="s">
        <v>16</v>
      </c>
      <c r="C162" s="1775" t="s">
        <v>13</v>
      </c>
      <c r="D162" s="1775" t="s">
        <v>46</v>
      </c>
      <c r="E162" s="1775" t="s">
        <v>49</v>
      </c>
      <c r="F162" s="1775" t="s">
        <v>51</v>
      </c>
      <c r="G162" s="1775" t="s">
        <v>28</v>
      </c>
      <c r="H162" s="1775" t="s">
        <v>28</v>
      </c>
      <c r="I162" s="1775" t="s">
        <v>906</v>
      </c>
    </row>
    <row r="163" spans="1:9" ht="11.25" customHeight="1">
      <c r="A163" s="1775" t="s">
        <v>2259</v>
      </c>
      <c r="B163" s="1775" t="s">
        <v>16</v>
      </c>
      <c r="C163" s="1775" t="s">
        <v>2610</v>
      </c>
      <c r="D163" s="1775" t="s">
        <v>2611</v>
      </c>
      <c r="E163" s="1775" t="s">
        <v>2612</v>
      </c>
      <c r="F163" s="1775" t="s">
        <v>2281</v>
      </c>
      <c r="G163" s="1775" t="s">
        <v>28</v>
      </c>
      <c r="H163" s="1775" t="s">
        <v>28</v>
      </c>
      <c r="I163" s="1775" t="s">
        <v>906</v>
      </c>
    </row>
    <row r="164" spans="1:9" ht="11.25" customHeight="1">
      <c r="A164" s="1775" t="s">
        <v>2259</v>
      </c>
      <c r="B164" s="1775" t="s">
        <v>16</v>
      </c>
      <c r="C164" s="1775" t="s">
        <v>2613</v>
      </c>
      <c r="D164" s="1775" t="s">
        <v>2614</v>
      </c>
      <c r="E164" s="1775" t="s">
        <v>2615</v>
      </c>
      <c r="F164" s="1775" t="s">
        <v>2364</v>
      </c>
      <c r="G164" s="1775" t="s">
        <v>28</v>
      </c>
      <c r="H164" s="1775" t="s">
        <v>28</v>
      </c>
      <c r="I164" s="1775" t="s">
        <v>906</v>
      </c>
    </row>
    <row r="165" spans="1:9" ht="11.25" customHeight="1">
      <c r="A165" s="1775" t="s">
        <v>2259</v>
      </c>
      <c r="B165" s="1775" t="s">
        <v>16</v>
      </c>
      <c r="C165" s="1775" t="s">
        <v>2616</v>
      </c>
      <c r="D165" s="1775" t="s">
        <v>2617</v>
      </c>
      <c r="E165" s="1775" t="s">
        <v>2618</v>
      </c>
      <c r="F165" s="1775" t="s">
        <v>2340</v>
      </c>
      <c r="G165" s="1775" t="s">
        <v>28</v>
      </c>
      <c r="H165" s="1775" t="s">
        <v>28</v>
      </c>
      <c r="I165" s="1775" t="s">
        <v>906</v>
      </c>
    </row>
    <row r="166" spans="1:9" ht="11.25" customHeight="1">
      <c r="A166" s="1775" t="s">
        <v>2259</v>
      </c>
      <c r="B166" s="1775" t="s">
        <v>16</v>
      </c>
      <c r="C166" s="1775" t="s">
        <v>28</v>
      </c>
      <c r="D166" s="1775" t="s">
        <v>2623</v>
      </c>
      <c r="E166" s="1775" t="s">
        <v>2624</v>
      </c>
      <c r="F166" s="1775" t="s">
        <v>2270</v>
      </c>
      <c r="G166" s="1775" t="s">
        <v>28</v>
      </c>
      <c r="H166" s="1775" t="s">
        <v>28</v>
      </c>
      <c r="I166" s="1775" t="s">
        <v>906</v>
      </c>
    </row>
    <row r="167" spans="1:9" ht="11.25" customHeight="1">
      <c r="A167" s="1775" t="s">
        <v>2259</v>
      </c>
      <c r="B167" s="1775" t="s">
        <v>16</v>
      </c>
      <c r="C167" s="1775" t="s">
        <v>2625</v>
      </c>
      <c r="D167" s="1775" t="s">
        <v>2626</v>
      </c>
      <c r="E167" s="1775" t="s">
        <v>2627</v>
      </c>
      <c r="F167" s="1775" t="s">
        <v>2628</v>
      </c>
      <c r="G167" s="1775" t="s">
        <v>28</v>
      </c>
      <c r="H167" s="1775" t="s">
        <v>28</v>
      </c>
      <c r="I167" s="1775" t="s">
        <v>906</v>
      </c>
    </row>
    <row r="168" spans="1:9" ht="11.25" customHeight="1">
      <c r="A168" s="1775" t="s">
        <v>2259</v>
      </c>
      <c r="B168" s="1775" t="s">
        <v>16</v>
      </c>
      <c r="C168" s="1775" t="s">
        <v>2636</v>
      </c>
      <c r="D168" s="1775" t="s">
        <v>2637</v>
      </c>
      <c r="E168" s="1775" t="s">
        <v>2638</v>
      </c>
      <c r="F168" s="1775" t="s">
        <v>2384</v>
      </c>
      <c r="G168" s="1775" t="s">
        <v>28</v>
      </c>
      <c r="H168" s="1775" t="s">
        <v>28</v>
      </c>
      <c r="I168" s="1775" t="s">
        <v>906</v>
      </c>
    </row>
    <row r="169" spans="1:9" ht="11.25" customHeight="1">
      <c r="A169" s="1775" t="s">
        <v>2259</v>
      </c>
      <c r="B169" s="1775" t="s">
        <v>16</v>
      </c>
      <c r="C169" s="1775" t="s">
        <v>2639</v>
      </c>
      <c r="D169" s="1775" t="s">
        <v>2640</v>
      </c>
      <c r="E169" s="1775" t="s">
        <v>2641</v>
      </c>
      <c r="F169" s="1775" t="s">
        <v>2289</v>
      </c>
      <c r="G169" s="1775" t="s">
        <v>28</v>
      </c>
      <c r="H169" s="1775" t="s">
        <v>28</v>
      </c>
      <c r="I169" s="1775" t="s">
        <v>906</v>
      </c>
    </row>
    <row r="170" spans="1:9" ht="11.25" customHeight="1">
      <c r="A170" s="1775" t="s">
        <v>2259</v>
      </c>
      <c r="B170" s="1775" t="s">
        <v>16</v>
      </c>
      <c r="C170" s="1775" t="s">
        <v>2642</v>
      </c>
      <c r="D170" s="1775" t="s">
        <v>2643</v>
      </c>
      <c r="E170" s="1775" t="s">
        <v>2644</v>
      </c>
      <c r="F170" s="1775" t="s">
        <v>2622</v>
      </c>
      <c r="G170" s="1775" t="s">
        <v>2645</v>
      </c>
      <c r="H170" s="1775" t="s">
        <v>28</v>
      </c>
      <c r="I170" s="1775" t="s">
        <v>906</v>
      </c>
    </row>
    <row r="171" spans="1:9" ht="11.25" customHeight="1">
      <c r="A171" s="1775" t="s">
        <v>2259</v>
      </c>
      <c r="B171" s="1775" t="s">
        <v>16</v>
      </c>
      <c r="C171" s="1775" t="s">
        <v>2646</v>
      </c>
      <c r="D171" s="1775" t="s">
        <v>2647</v>
      </c>
      <c r="E171" s="1775" t="s">
        <v>2644</v>
      </c>
      <c r="F171" s="1775" t="s">
        <v>2648</v>
      </c>
      <c r="G171" s="1775" t="s">
        <v>2649</v>
      </c>
      <c r="H171" s="1775" t="s">
        <v>28</v>
      </c>
      <c r="I171" s="1775" t="s">
        <v>906</v>
      </c>
    </row>
    <row r="172" spans="1:9" ht="11.25" customHeight="1">
      <c r="A172" s="1775" t="s">
        <v>2259</v>
      </c>
      <c r="B172" s="1775" t="s">
        <v>16</v>
      </c>
      <c r="C172" s="1775" t="s">
        <v>2654</v>
      </c>
      <c r="D172" s="1775" t="s">
        <v>2655</v>
      </c>
      <c r="E172" s="1775" t="s">
        <v>2656</v>
      </c>
      <c r="F172" s="1775" t="s">
        <v>2657</v>
      </c>
      <c r="G172" s="1775" t="s">
        <v>28</v>
      </c>
      <c r="H172" s="1775" t="s">
        <v>28</v>
      </c>
      <c r="I172" s="1775" t="s">
        <v>906</v>
      </c>
    </row>
    <row r="173" spans="1:9" ht="11.25" customHeight="1">
      <c r="A173" s="1775" t="s">
        <v>2259</v>
      </c>
      <c r="B173" s="1775" t="s">
        <v>16</v>
      </c>
      <c r="C173" s="1775" t="s">
        <v>2260</v>
      </c>
      <c r="D173" s="1775" t="s">
        <v>2261</v>
      </c>
      <c r="E173" s="1775" t="s">
        <v>2262</v>
      </c>
      <c r="F173" s="1775" t="s">
        <v>2263</v>
      </c>
      <c r="G173" s="1775" t="s">
        <v>2264</v>
      </c>
      <c r="H173" s="1775" t="s">
        <v>28</v>
      </c>
      <c r="I173" s="1775" t="s">
        <v>866</v>
      </c>
    </row>
    <row r="174" spans="1:9" ht="11.25" customHeight="1">
      <c r="A174" s="1775" t="s">
        <v>2259</v>
      </c>
      <c r="B174" s="1775" t="s">
        <v>16</v>
      </c>
      <c r="C174" s="1775" t="s">
        <v>2265</v>
      </c>
      <c r="D174" s="1775" t="s">
        <v>2261</v>
      </c>
      <c r="E174" s="1775" t="s">
        <v>2262</v>
      </c>
      <c r="F174" s="1775" t="s">
        <v>2266</v>
      </c>
      <c r="G174" s="1775" t="s">
        <v>28</v>
      </c>
      <c r="H174" s="1775" t="s">
        <v>28</v>
      </c>
      <c r="I174" s="1775" t="s">
        <v>866</v>
      </c>
    </row>
    <row r="175" spans="1:9" ht="11.25" customHeight="1">
      <c r="A175" s="1775" t="s">
        <v>2259</v>
      </c>
      <c r="B175" s="1775" t="s">
        <v>16</v>
      </c>
      <c r="C175" s="1775" t="s">
        <v>2658</v>
      </c>
      <c r="D175" s="1775" t="s">
        <v>2659</v>
      </c>
      <c r="E175" s="1775" t="s">
        <v>2660</v>
      </c>
      <c r="F175" s="1775" t="s">
        <v>2475</v>
      </c>
      <c r="G175" s="1775" t="s">
        <v>28</v>
      </c>
      <c r="H175" s="1775" t="s">
        <v>28</v>
      </c>
      <c r="I175" s="1775" t="s">
        <v>866</v>
      </c>
    </row>
    <row r="176" spans="1:9" ht="11.25" customHeight="1">
      <c r="A176" s="1775" t="s">
        <v>2259</v>
      </c>
      <c r="B176" s="1775" t="s">
        <v>16</v>
      </c>
      <c r="C176" s="1775" t="s">
        <v>2290</v>
      </c>
      <c r="D176" s="1775" t="s">
        <v>2291</v>
      </c>
      <c r="E176" s="1775" t="s">
        <v>2276</v>
      </c>
      <c r="F176" s="1775" t="s">
        <v>2292</v>
      </c>
      <c r="G176" s="1775" t="s">
        <v>28</v>
      </c>
      <c r="H176" s="1775" t="s">
        <v>28</v>
      </c>
      <c r="I176" s="1775" t="s">
        <v>866</v>
      </c>
    </row>
    <row r="177" spans="1:9" ht="11.25" customHeight="1">
      <c r="A177" s="1775" t="s">
        <v>2259</v>
      </c>
      <c r="B177" s="1775" t="s">
        <v>16</v>
      </c>
      <c r="C177" s="1775" t="s">
        <v>2661</v>
      </c>
      <c r="D177" s="1775" t="s">
        <v>2662</v>
      </c>
      <c r="E177" s="1775" t="s">
        <v>2663</v>
      </c>
      <c r="F177" s="1775" t="s">
        <v>2324</v>
      </c>
      <c r="G177" s="1775" t="s">
        <v>28</v>
      </c>
      <c r="H177" s="1775" t="s">
        <v>28</v>
      </c>
      <c r="I177" s="1775" t="s">
        <v>866</v>
      </c>
    </row>
    <row r="178" spans="1:9" ht="11.25" customHeight="1">
      <c r="A178" s="1775" t="s">
        <v>2259</v>
      </c>
      <c r="B178" s="1775" t="s">
        <v>16</v>
      </c>
      <c r="C178" s="1775" t="s">
        <v>2300</v>
      </c>
      <c r="D178" s="1775" t="s">
        <v>2301</v>
      </c>
      <c r="E178" s="1775" t="s">
        <v>2302</v>
      </c>
      <c r="F178" s="1775" t="s">
        <v>2296</v>
      </c>
      <c r="G178" s="1775" t="s">
        <v>28</v>
      </c>
      <c r="H178" s="1775" t="s">
        <v>28</v>
      </c>
      <c r="I178" s="1775" t="s">
        <v>866</v>
      </c>
    </row>
    <row r="179" spans="1:9" ht="11.25" customHeight="1">
      <c r="A179" s="1775" t="s">
        <v>2259</v>
      </c>
      <c r="B179" s="1775" t="s">
        <v>16</v>
      </c>
      <c r="C179" s="1775" t="s">
        <v>2664</v>
      </c>
      <c r="D179" s="1775" t="s">
        <v>2665</v>
      </c>
      <c r="E179" s="1775" t="s">
        <v>2666</v>
      </c>
      <c r="F179" s="1775" t="s">
        <v>2421</v>
      </c>
      <c r="G179" s="1775" t="s">
        <v>28</v>
      </c>
      <c r="H179" s="1775" t="s">
        <v>28</v>
      </c>
      <c r="I179" s="1775" t="s">
        <v>866</v>
      </c>
    </row>
    <row r="180" spans="1:9" ht="11.25" customHeight="1">
      <c r="A180" s="1775" t="s">
        <v>2259</v>
      </c>
      <c r="B180" s="1775" t="s">
        <v>16</v>
      </c>
      <c r="C180" s="1775" t="s">
        <v>2667</v>
      </c>
      <c r="D180" s="1775" t="s">
        <v>2668</v>
      </c>
      <c r="E180" s="1775" t="s">
        <v>2669</v>
      </c>
      <c r="F180" s="1775" t="s">
        <v>588</v>
      </c>
      <c r="G180" s="1775" t="s">
        <v>28</v>
      </c>
      <c r="H180" s="1775" t="s">
        <v>28</v>
      </c>
      <c r="I180" s="1775" t="s">
        <v>866</v>
      </c>
    </row>
    <row r="181" spans="1:9" ht="11.25" customHeight="1">
      <c r="A181" s="1775" t="s">
        <v>2259</v>
      </c>
      <c r="B181" s="1775" t="s">
        <v>16</v>
      </c>
      <c r="C181" s="1775" t="s">
        <v>2670</v>
      </c>
      <c r="D181" s="1775" t="s">
        <v>2671</v>
      </c>
      <c r="E181" s="1775" t="s">
        <v>2672</v>
      </c>
      <c r="F181" s="1775" t="s">
        <v>588</v>
      </c>
      <c r="G181" s="1775" t="s">
        <v>28</v>
      </c>
      <c r="H181" s="1775" t="s">
        <v>2673</v>
      </c>
      <c r="I181" s="1775" t="s">
        <v>866</v>
      </c>
    </row>
    <row r="182" spans="1:9" ht="11.25" customHeight="1">
      <c r="A182" s="1775" t="s">
        <v>2259</v>
      </c>
      <c r="B182" s="1775" t="s">
        <v>16</v>
      </c>
      <c r="C182" s="1775" t="s">
        <v>2674</v>
      </c>
      <c r="D182" s="1775" t="s">
        <v>2675</v>
      </c>
      <c r="E182" s="1775" t="s">
        <v>2676</v>
      </c>
      <c r="F182" s="1775" t="s">
        <v>588</v>
      </c>
      <c r="G182" s="1775" t="s">
        <v>28</v>
      </c>
      <c r="H182" s="1775" t="s">
        <v>28</v>
      </c>
      <c r="I182" s="1775" t="s">
        <v>866</v>
      </c>
    </row>
    <row r="183" spans="1:9" ht="11.25" customHeight="1">
      <c r="A183" s="1775" t="s">
        <v>2259</v>
      </c>
      <c r="B183" s="1775" t="s">
        <v>16</v>
      </c>
      <c r="C183" s="1775" t="s">
        <v>2677</v>
      </c>
      <c r="D183" s="1775" t="s">
        <v>2678</v>
      </c>
      <c r="E183" s="1775" t="s">
        <v>2679</v>
      </c>
      <c r="F183" s="1775" t="s">
        <v>588</v>
      </c>
      <c r="G183" s="1775" t="s">
        <v>28</v>
      </c>
      <c r="H183" s="1775" t="s">
        <v>28</v>
      </c>
      <c r="I183" s="1775" t="s">
        <v>866</v>
      </c>
    </row>
    <row r="184" spans="1:9" ht="11.25" customHeight="1">
      <c r="A184" s="1775" t="s">
        <v>2259</v>
      </c>
      <c r="B184" s="1775" t="s">
        <v>16</v>
      </c>
      <c r="C184" s="1775" t="s">
        <v>2680</v>
      </c>
      <c r="D184" s="1775" t="s">
        <v>2681</v>
      </c>
      <c r="E184" s="1775" t="s">
        <v>2682</v>
      </c>
      <c r="F184" s="1775" t="s">
        <v>588</v>
      </c>
      <c r="G184" s="1775" t="s">
        <v>2683</v>
      </c>
      <c r="H184" s="1775" t="s">
        <v>28</v>
      </c>
      <c r="I184" s="1775" t="s">
        <v>866</v>
      </c>
    </row>
    <row r="185" spans="1:9" ht="11.25" customHeight="1">
      <c r="A185" s="1775" t="s">
        <v>2259</v>
      </c>
      <c r="B185" s="1775" t="s">
        <v>16</v>
      </c>
      <c r="C185" s="1775" t="s">
        <v>2684</v>
      </c>
      <c r="D185" s="1775" t="s">
        <v>2685</v>
      </c>
      <c r="E185" s="1775" t="s">
        <v>2686</v>
      </c>
      <c r="F185" s="1775" t="s">
        <v>588</v>
      </c>
      <c r="G185" s="1775" t="s">
        <v>28</v>
      </c>
      <c r="H185" s="1775" t="s">
        <v>28</v>
      </c>
      <c r="I185" s="1775" t="s">
        <v>866</v>
      </c>
    </row>
    <row r="186" spans="1:9" ht="11.25" customHeight="1">
      <c r="A186" s="1775" t="s">
        <v>2259</v>
      </c>
      <c r="B186" s="1775" t="s">
        <v>16</v>
      </c>
      <c r="C186" s="1775" t="s">
        <v>2687</v>
      </c>
      <c r="D186" s="1775" t="s">
        <v>2688</v>
      </c>
      <c r="E186" s="1775" t="s">
        <v>2689</v>
      </c>
      <c r="F186" s="1775" t="s">
        <v>588</v>
      </c>
      <c r="G186" s="1775" t="s">
        <v>28</v>
      </c>
      <c r="H186" s="1775" t="s">
        <v>28</v>
      </c>
      <c r="I186" s="1775" t="s">
        <v>866</v>
      </c>
    </row>
    <row r="187" spans="1:9" ht="11.25" customHeight="1">
      <c r="A187" s="1775" t="s">
        <v>2259</v>
      </c>
      <c r="B187" s="1775" t="s">
        <v>16</v>
      </c>
      <c r="C187" s="1775" t="s">
        <v>2314</v>
      </c>
      <c r="D187" s="1775" t="s">
        <v>2315</v>
      </c>
      <c r="E187" s="1775" t="s">
        <v>2316</v>
      </c>
      <c r="F187" s="1775" t="s">
        <v>2317</v>
      </c>
      <c r="G187" s="1775" t="s">
        <v>28</v>
      </c>
      <c r="H187" s="1775" t="s">
        <v>28</v>
      </c>
      <c r="I187" s="1775" t="s">
        <v>866</v>
      </c>
    </row>
    <row r="188" spans="1:9" ht="11.25" customHeight="1">
      <c r="A188" s="1775" t="s">
        <v>2259</v>
      </c>
      <c r="B188" s="1775" t="s">
        <v>16</v>
      </c>
      <c r="C188" s="1775" t="s">
        <v>2318</v>
      </c>
      <c r="D188" s="1775" t="s">
        <v>2319</v>
      </c>
      <c r="E188" s="1775" t="s">
        <v>2320</v>
      </c>
      <c r="F188" s="1775" t="s">
        <v>2321</v>
      </c>
      <c r="G188" s="1775" t="s">
        <v>28</v>
      </c>
      <c r="H188" s="1775" t="s">
        <v>28</v>
      </c>
      <c r="I188" s="1775" t="s">
        <v>866</v>
      </c>
    </row>
    <row r="189" spans="1:9" ht="11.25" customHeight="1">
      <c r="A189" s="1775" t="s">
        <v>2259</v>
      </c>
      <c r="B189" s="1775" t="s">
        <v>16</v>
      </c>
      <c r="C189" s="1775" t="s">
        <v>2325</v>
      </c>
      <c r="D189" s="1775" t="s">
        <v>2326</v>
      </c>
      <c r="E189" s="1775" t="s">
        <v>2316</v>
      </c>
      <c r="F189" s="1775" t="s">
        <v>2327</v>
      </c>
      <c r="G189" s="1775" t="s">
        <v>28</v>
      </c>
      <c r="H189" s="1775" t="s">
        <v>28</v>
      </c>
      <c r="I189" s="1775" t="s">
        <v>866</v>
      </c>
    </row>
    <row r="190" spans="1:9" ht="11.25" customHeight="1">
      <c r="A190" s="1775" t="s">
        <v>2259</v>
      </c>
      <c r="B190" s="1775" t="s">
        <v>16</v>
      </c>
      <c r="C190" s="1775" t="s">
        <v>2331</v>
      </c>
      <c r="D190" s="1775" t="s">
        <v>2332</v>
      </c>
      <c r="E190" s="1775" t="s">
        <v>2316</v>
      </c>
      <c r="F190" s="1775" t="s">
        <v>2333</v>
      </c>
      <c r="G190" s="1775" t="s">
        <v>28</v>
      </c>
      <c r="H190" s="1775" t="s">
        <v>28</v>
      </c>
      <c r="I190" s="1775" t="s">
        <v>866</v>
      </c>
    </row>
    <row r="191" spans="1:9" ht="11.25" customHeight="1">
      <c r="A191" s="1775" t="s">
        <v>2259</v>
      </c>
      <c r="B191" s="1775" t="s">
        <v>16</v>
      </c>
      <c r="C191" s="1775" t="s">
        <v>2337</v>
      </c>
      <c r="D191" s="1775" t="s">
        <v>2338</v>
      </c>
      <c r="E191" s="1775" t="s">
        <v>2339</v>
      </c>
      <c r="F191" s="1775" t="s">
        <v>2340</v>
      </c>
      <c r="G191" s="1775" t="s">
        <v>28</v>
      </c>
      <c r="H191" s="1775" t="s">
        <v>28</v>
      </c>
      <c r="I191" s="1775" t="s">
        <v>866</v>
      </c>
    </row>
    <row r="192" spans="1:9" ht="11.25" customHeight="1">
      <c r="A192" s="1775" t="s">
        <v>2259</v>
      </c>
      <c r="B192" s="1775" t="s">
        <v>16</v>
      </c>
      <c r="C192" s="1775" t="s">
        <v>2341</v>
      </c>
      <c r="D192" s="1775" t="s">
        <v>2342</v>
      </c>
      <c r="E192" s="1775" t="s">
        <v>2343</v>
      </c>
      <c r="F192" s="1775" t="s">
        <v>2289</v>
      </c>
      <c r="G192" s="1775" t="s">
        <v>28</v>
      </c>
      <c r="H192" s="1775" t="s">
        <v>28</v>
      </c>
      <c r="I192" s="1775" t="s">
        <v>866</v>
      </c>
    </row>
    <row r="193" spans="1:9" ht="11.25" customHeight="1">
      <c r="A193" s="1775" t="s">
        <v>2259</v>
      </c>
      <c r="B193" s="1775" t="s">
        <v>16</v>
      </c>
      <c r="C193" s="1775" t="s">
        <v>28</v>
      </c>
      <c r="D193" s="1775" t="s">
        <v>2352</v>
      </c>
      <c r="E193" s="1775" t="s">
        <v>2353</v>
      </c>
      <c r="F193" s="1775" t="s">
        <v>2289</v>
      </c>
      <c r="G193" s="1775" t="s">
        <v>28</v>
      </c>
      <c r="H193" s="1775" t="s">
        <v>28</v>
      </c>
      <c r="I193" s="1775" t="s">
        <v>866</v>
      </c>
    </row>
    <row r="194" spans="1:9" ht="11.25" customHeight="1">
      <c r="A194" s="1775" t="s">
        <v>2259</v>
      </c>
      <c r="B194" s="1775" t="s">
        <v>16</v>
      </c>
      <c r="C194" s="1775" t="s">
        <v>2690</v>
      </c>
      <c r="D194" s="1775" t="s">
        <v>2691</v>
      </c>
      <c r="E194" s="1775" t="s">
        <v>2692</v>
      </c>
      <c r="F194" s="1775" t="s">
        <v>2347</v>
      </c>
      <c r="G194" s="1775" t="s">
        <v>2693</v>
      </c>
      <c r="H194" s="1775" t="s">
        <v>28</v>
      </c>
      <c r="I194" s="1775" t="s">
        <v>866</v>
      </c>
    </row>
    <row r="195" spans="1:9" ht="11.25" customHeight="1">
      <c r="A195" s="1775" t="s">
        <v>2259</v>
      </c>
      <c r="B195" s="1775" t="s">
        <v>16</v>
      </c>
      <c r="C195" s="1775" t="s">
        <v>2694</v>
      </c>
      <c r="D195" s="1775" t="s">
        <v>2695</v>
      </c>
      <c r="E195" s="1775" t="s">
        <v>2696</v>
      </c>
      <c r="F195" s="1775" t="s">
        <v>2412</v>
      </c>
      <c r="G195" s="1775" t="s">
        <v>28</v>
      </c>
      <c r="H195" s="1775" t="s">
        <v>28</v>
      </c>
      <c r="I195" s="1775" t="s">
        <v>866</v>
      </c>
    </row>
    <row r="196" spans="1:9" ht="11.25" customHeight="1">
      <c r="A196" s="1775" t="s">
        <v>2259</v>
      </c>
      <c r="B196" s="1775" t="s">
        <v>16</v>
      </c>
      <c r="C196" s="1775" t="s">
        <v>2697</v>
      </c>
      <c r="D196" s="1775" t="s">
        <v>2698</v>
      </c>
      <c r="E196" s="1775" t="s">
        <v>2699</v>
      </c>
      <c r="F196" s="1775" t="s">
        <v>2388</v>
      </c>
      <c r="G196" s="1775" t="s">
        <v>28</v>
      </c>
      <c r="H196" s="1775" t="s">
        <v>28</v>
      </c>
      <c r="I196" s="1775" t="s">
        <v>866</v>
      </c>
    </row>
    <row r="197" spans="1:9" ht="11.25" customHeight="1">
      <c r="A197" s="1775" t="s">
        <v>2259</v>
      </c>
      <c r="B197" s="1775" t="s">
        <v>16</v>
      </c>
      <c r="C197" s="1775" t="s">
        <v>2700</v>
      </c>
      <c r="D197" s="1775" t="s">
        <v>2698</v>
      </c>
      <c r="E197" s="1775" t="s">
        <v>2701</v>
      </c>
      <c r="F197" s="1775" t="s">
        <v>2375</v>
      </c>
      <c r="G197" s="1775" t="s">
        <v>28</v>
      </c>
      <c r="H197" s="1775" t="s">
        <v>28</v>
      </c>
      <c r="I197" s="1775" t="s">
        <v>866</v>
      </c>
    </row>
    <row r="198" spans="1:9" ht="11.25" customHeight="1">
      <c r="A198" s="1775" t="s">
        <v>2259</v>
      </c>
      <c r="B198" s="1775" t="s">
        <v>16</v>
      </c>
      <c r="C198" s="1775" t="s">
        <v>2702</v>
      </c>
      <c r="D198" s="1775" t="s">
        <v>2703</v>
      </c>
      <c r="E198" s="1775" t="s">
        <v>2704</v>
      </c>
      <c r="F198" s="1775" t="s">
        <v>2388</v>
      </c>
      <c r="G198" s="1775" t="s">
        <v>28</v>
      </c>
      <c r="H198" s="1775" t="s">
        <v>28</v>
      </c>
      <c r="I198" s="1775" t="s">
        <v>866</v>
      </c>
    </row>
    <row r="199" spans="1:9" ht="11.25" customHeight="1">
      <c r="A199" s="1775" t="s">
        <v>2259</v>
      </c>
      <c r="B199" s="1775" t="s">
        <v>16</v>
      </c>
      <c r="C199" s="1775" t="s">
        <v>2705</v>
      </c>
      <c r="D199" s="1775" t="s">
        <v>2706</v>
      </c>
      <c r="E199" s="1775" t="s">
        <v>2707</v>
      </c>
      <c r="F199" s="1775" t="s">
        <v>2351</v>
      </c>
      <c r="G199" s="1775" t="s">
        <v>28</v>
      </c>
      <c r="H199" s="1775" t="s">
        <v>28</v>
      </c>
      <c r="I199" s="1775" t="s">
        <v>866</v>
      </c>
    </row>
    <row r="200" spans="1:9" ht="11.25" customHeight="1">
      <c r="A200" s="1775" t="s">
        <v>2259</v>
      </c>
      <c r="B200" s="1775" t="s">
        <v>16</v>
      </c>
      <c r="C200" s="1775" t="s">
        <v>2708</v>
      </c>
      <c r="D200" s="1775" t="s">
        <v>2709</v>
      </c>
      <c r="E200" s="1775" t="s">
        <v>2710</v>
      </c>
      <c r="F200" s="1775" t="s">
        <v>2357</v>
      </c>
      <c r="G200" s="1775" t="s">
        <v>28</v>
      </c>
      <c r="H200" s="1775" t="s">
        <v>28</v>
      </c>
      <c r="I200" s="1775" t="s">
        <v>866</v>
      </c>
    </row>
    <row r="201" spans="1:9" ht="11.25" customHeight="1">
      <c r="A201" s="1775" t="s">
        <v>2259</v>
      </c>
      <c r="B201" s="1775" t="s">
        <v>16</v>
      </c>
      <c r="C201" s="1775" t="s">
        <v>2354</v>
      </c>
      <c r="D201" s="1775" t="s">
        <v>2355</v>
      </c>
      <c r="E201" s="1775" t="s">
        <v>2356</v>
      </c>
      <c r="F201" s="1775" t="s">
        <v>2357</v>
      </c>
      <c r="G201" s="1775" t="s">
        <v>28</v>
      </c>
      <c r="H201" s="1775" t="s">
        <v>28</v>
      </c>
      <c r="I201" s="1775" t="s">
        <v>866</v>
      </c>
    </row>
    <row r="202" spans="1:9" ht="11.25" customHeight="1">
      <c r="A202" s="1775" t="s">
        <v>2259</v>
      </c>
      <c r="B202" s="1775" t="s">
        <v>16</v>
      </c>
      <c r="C202" s="1775" t="s">
        <v>2711</v>
      </c>
      <c r="D202" s="1775" t="s">
        <v>2712</v>
      </c>
      <c r="E202" s="1775" t="s">
        <v>2713</v>
      </c>
      <c r="F202" s="1775" t="s">
        <v>2714</v>
      </c>
      <c r="G202" s="1775" t="s">
        <v>28</v>
      </c>
      <c r="H202" s="1775" t="s">
        <v>28</v>
      </c>
      <c r="I202" s="1775" t="s">
        <v>866</v>
      </c>
    </row>
    <row r="203" spans="1:9" ht="11.25" customHeight="1">
      <c r="A203" s="1775" t="s">
        <v>2259</v>
      </c>
      <c r="B203" s="1775" t="s">
        <v>16</v>
      </c>
      <c r="C203" s="1775" t="s">
        <v>2715</v>
      </c>
      <c r="D203" s="1775" t="s">
        <v>2359</v>
      </c>
      <c r="E203" s="1775" t="s">
        <v>2716</v>
      </c>
      <c r="F203" s="1775" t="s">
        <v>2347</v>
      </c>
      <c r="G203" s="1775" t="s">
        <v>28</v>
      </c>
      <c r="H203" s="1775" t="s">
        <v>28</v>
      </c>
      <c r="I203" s="1775" t="s">
        <v>866</v>
      </c>
    </row>
    <row r="204" spans="1:9" ht="11.25" customHeight="1">
      <c r="A204" s="1775" t="s">
        <v>2259</v>
      </c>
      <c r="B204" s="1775" t="s">
        <v>16</v>
      </c>
      <c r="C204" s="1775" t="s">
        <v>2358</v>
      </c>
      <c r="D204" s="1775" t="s">
        <v>2359</v>
      </c>
      <c r="E204" s="1775" t="s">
        <v>2360</v>
      </c>
      <c r="F204" s="1775" t="s">
        <v>2357</v>
      </c>
      <c r="G204" s="1775" t="s">
        <v>28</v>
      </c>
      <c r="H204" s="1775" t="s">
        <v>28</v>
      </c>
      <c r="I204" s="1775" t="s">
        <v>866</v>
      </c>
    </row>
    <row r="205" spans="1:9" ht="11.25" customHeight="1">
      <c r="A205" s="1775" t="s">
        <v>2259</v>
      </c>
      <c r="B205" s="1775" t="s">
        <v>16</v>
      </c>
      <c r="C205" s="1775" t="s">
        <v>2361</v>
      </c>
      <c r="D205" s="1775" t="s">
        <v>2362</v>
      </c>
      <c r="E205" s="1775" t="s">
        <v>2363</v>
      </c>
      <c r="F205" s="1775" t="s">
        <v>2364</v>
      </c>
      <c r="G205" s="1775" t="s">
        <v>28</v>
      </c>
      <c r="H205" s="1775" t="s">
        <v>28</v>
      </c>
      <c r="I205" s="1775" t="s">
        <v>866</v>
      </c>
    </row>
    <row r="206" spans="1:9" ht="11.25" customHeight="1">
      <c r="A206" s="1775" t="s">
        <v>2259</v>
      </c>
      <c r="B206" s="1775" t="s">
        <v>16</v>
      </c>
      <c r="C206" s="1775" t="s">
        <v>2717</v>
      </c>
      <c r="D206" s="1775" t="s">
        <v>2718</v>
      </c>
      <c r="E206" s="1775" t="s">
        <v>2719</v>
      </c>
      <c r="F206" s="1775" t="s">
        <v>2720</v>
      </c>
      <c r="G206" s="1775" t="s">
        <v>28</v>
      </c>
      <c r="H206" s="1775" t="s">
        <v>28</v>
      </c>
      <c r="I206" s="1775" t="s">
        <v>866</v>
      </c>
    </row>
    <row r="207" spans="1:9" ht="11.25" customHeight="1">
      <c r="A207" s="1775" t="s">
        <v>2259</v>
      </c>
      <c r="B207" s="1775" t="s">
        <v>16</v>
      </c>
      <c r="C207" s="1775" t="s">
        <v>2721</v>
      </c>
      <c r="D207" s="1775" t="s">
        <v>2366</v>
      </c>
      <c r="E207" s="1775" t="s">
        <v>2722</v>
      </c>
      <c r="F207" s="1775" t="s">
        <v>2384</v>
      </c>
      <c r="G207" s="1775" t="s">
        <v>28</v>
      </c>
      <c r="H207" s="1775" t="s">
        <v>28</v>
      </c>
      <c r="I207" s="1775" t="s">
        <v>866</v>
      </c>
    </row>
    <row r="208" spans="1:9" ht="11.25" customHeight="1">
      <c r="A208" s="1775" t="s">
        <v>2259</v>
      </c>
      <c r="B208" s="1775" t="s">
        <v>16</v>
      </c>
      <c r="C208" s="1775" t="s">
        <v>2365</v>
      </c>
      <c r="D208" s="1775" t="s">
        <v>2366</v>
      </c>
      <c r="E208" s="1775" t="s">
        <v>2367</v>
      </c>
      <c r="F208" s="1775" t="s">
        <v>2351</v>
      </c>
      <c r="G208" s="1775" t="s">
        <v>28</v>
      </c>
      <c r="H208" s="1775" t="s">
        <v>28</v>
      </c>
      <c r="I208" s="1775" t="s">
        <v>866</v>
      </c>
    </row>
    <row r="209" spans="1:9" ht="11.25" customHeight="1">
      <c r="A209" s="1775" t="s">
        <v>2259</v>
      </c>
      <c r="B209" s="1775" t="s">
        <v>16</v>
      </c>
      <c r="C209" s="1775" t="s">
        <v>2723</v>
      </c>
      <c r="D209" s="1775" t="s">
        <v>2724</v>
      </c>
      <c r="E209" s="1775" t="s">
        <v>2725</v>
      </c>
      <c r="F209" s="1775" t="s">
        <v>2347</v>
      </c>
      <c r="G209" s="1775" t="s">
        <v>28</v>
      </c>
      <c r="H209" s="1775" t="s">
        <v>28</v>
      </c>
      <c r="I209" s="1775" t="s">
        <v>866</v>
      </c>
    </row>
    <row r="210" spans="1:9" ht="11.25" customHeight="1">
      <c r="A210" s="1775" t="s">
        <v>2259</v>
      </c>
      <c r="B210" s="1775" t="s">
        <v>16</v>
      </c>
      <c r="C210" s="1775" t="s">
        <v>2368</v>
      </c>
      <c r="D210" s="1775" t="s">
        <v>2369</v>
      </c>
      <c r="E210" s="1775" t="s">
        <v>2370</v>
      </c>
      <c r="F210" s="1775" t="s">
        <v>2308</v>
      </c>
      <c r="G210" s="1775" t="s">
        <v>2371</v>
      </c>
      <c r="H210" s="1775" t="s">
        <v>28</v>
      </c>
      <c r="I210" s="1775" t="s">
        <v>866</v>
      </c>
    </row>
    <row r="211" spans="1:9" ht="11.25" customHeight="1">
      <c r="A211" s="1775" t="s">
        <v>2259</v>
      </c>
      <c r="B211" s="1775" t="s">
        <v>16</v>
      </c>
      <c r="C211" s="1775" t="s">
        <v>2726</v>
      </c>
      <c r="D211" s="1775" t="s">
        <v>2727</v>
      </c>
      <c r="E211" s="1775" t="s">
        <v>2728</v>
      </c>
      <c r="F211" s="1775" t="s">
        <v>2347</v>
      </c>
      <c r="G211" s="1775" t="s">
        <v>28</v>
      </c>
      <c r="H211" s="1775" t="s">
        <v>28</v>
      </c>
      <c r="I211" s="1775" t="s">
        <v>866</v>
      </c>
    </row>
    <row r="212" spans="1:9" ht="11.25" customHeight="1">
      <c r="A212" s="1775" t="s">
        <v>2259</v>
      </c>
      <c r="B212" s="1775" t="s">
        <v>16</v>
      </c>
      <c r="C212" s="1775" t="s">
        <v>2729</v>
      </c>
      <c r="D212" s="1775" t="s">
        <v>2730</v>
      </c>
      <c r="E212" s="1775" t="s">
        <v>2731</v>
      </c>
      <c r="F212" s="1775" t="s">
        <v>2732</v>
      </c>
      <c r="G212" s="1775" t="s">
        <v>28</v>
      </c>
      <c r="H212" s="1775" t="s">
        <v>28</v>
      </c>
      <c r="I212" s="1775" t="s">
        <v>866</v>
      </c>
    </row>
    <row r="213" spans="1:9" ht="11.25" customHeight="1">
      <c r="A213" s="1775" t="s">
        <v>2259</v>
      </c>
      <c r="B213" s="1775" t="s">
        <v>16</v>
      </c>
      <c r="C213" s="1775" t="s">
        <v>2733</v>
      </c>
      <c r="D213" s="1775" t="s">
        <v>2734</v>
      </c>
      <c r="E213" s="1775" t="s">
        <v>2735</v>
      </c>
      <c r="F213" s="1775" t="s">
        <v>2597</v>
      </c>
      <c r="G213" s="1775" t="s">
        <v>28</v>
      </c>
      <c r="H213" s="1775" t="s">
        <v>28</v>
      </c>
      <c r="I213" s="1775" t="s">
        <v>866</v>
      </c>
    </row>
    <row r="214" spans="1:9" ht="11.25" customHeight="1">
      <c r="A214" s="1775" t="s">
        <v>2259</v>
      </c>
      <c r="B214" s="1775" t="s">
        <v>16</v>
      </c>
      <c r="C214" s="1775" t="s">
        <v>2736</v>
      </c>
      <c r="D214" s="1775" t="s">
        <v>2737</v>
      </c>
      <c r="E214" s="1775" t="s">
        <v>2738</v>
      </c>
      <c r="F214" s="1775" t="s">
        <v>2347</v>
      </c>
      <c r="G214" s="1775" t="s">
        <v>2739</v>
      </c>
      <c r="H214" s="1775" t="s">
        <v>28</v>
      </c>
      <c r="I214" s="1775" t="s">
        <v>866</v>
      </c>
    </row>
    <row r="215" spans="1:9" ht="11.25" customHeight="1">
      <c r="A215" s="1775" t="s">
        <v>2259</v>
      </c>
      <c r="B215" s="1775" t="s">
        <v>16</v>
      </c>
      <c r="C215" s="1775" t="s">
        <v>2740</v>
      </c>
      <c r="D215" s="1775" t="s">
        <v>2741</v>
      </c>
      <c r="E215" s="1775" t="s">
        <v>2742</v>
      </c>
      <c r="F215" s="1775" t="s">
        <v>2357</v>
      </c>
      <c r="G215" s="1775" t="s">
        <v>2743</v>
      </c>
      <c r="H215" s="1775" t="s">
        <v>28</v>
      </c>
      <c r="I215" s="1775" t="s">
        <v>866</v>
      </c>
    </row>
    <row r="216" spans="1:9" ht="11.25" customHeight="1">
      <c r="A216" s="1775" t="s">
        <v>2259</v>
      </c>
      <c r="B216" s="1775" t="s">
        <v>16</v>
      </c>
      <c r="C216" s="1775" t="s">
        <v>2744</v>
      </c>
      <c r="D216" s="1775" t="s">
        <v>2745</v>
      </c>
      <c r="E216" s="1775" t="s">
        <v>2746</v>
      </c>
      <c r="F216" s="1775" t="s">
        <v>2421</v>
      </c>
      <c r="G216" s="1775" t="s">
        <v>28</v>
      </c>
      <c r="H216" s="1775" t="s">
        <v>28</v>
      </c>
      <c r="I216" s="1775" t="s">
        <v>866</v>
      </c>
    </row>
    <row r="217" spans="1:9" ht="11.25" customHeight="1">
      <c r="A217" s="1775" t="s">
        <v>2259</v>
      </c>
      <c r="B217" s="1775" t="s">
        <v>16</v>
      </c>
      <c r="C217" s="1775" t="s">
        <v>2747</v>
      </c>
      <c r="D217" s="1775" t="s">
        <v>2748</v>
      </c>
      <c r="E217" s="1775" t="s">
        <v>2749</v>
      </c>
      <c r="F217" s="1775" t="s">
        <v>2347</v>
      </c>
      <c r="G217" s="1775" t="s">
        <v>28</v>
      </c>
      <c r="H217" s="1775" t="s">
        <v>2750</v>
      </c>
      <c r="I217" s="1775" t="s">
        <v>866</v>
      </c>
    </row>
    <row r="218" spans="1:9" ht="11.25" customHeight="1">
      <c r="A218" s="1775" t="s">
        <v>2259</v>
      </c>
      <c r="B218" s="1775" t="s">
        <v>16</v>
      </c>
      <c r="C218" s="1775" t="s">
        <v>2392</v>
      </c>
      <c r="D218" s="1775" t="s">
        <v>2393</v>
      </c>
      <c r="E218" s="1775" t="s">
        <v>2394</v>
      </c>
      <c r="F218" s="1775" t="s">
        <v>2357</v>
      </c>
      <c r="G218" s="1775" t="s">
        <v>28</v>
      </c>
      <c r="H218" s="1775" t="s">
        <v>28</v>
      </c>
      <c r="I218" s="1775" t="s">
        <v>866</v>
      </c>
    </row>
    <row r="219" spans="1:9" ht="11.25" customHeight="1">
      <c r="A219" s="1775" t="s">
        <v>2259</v>
      </c>
      <c r="B219" s="1775" t="s">
        <v>16</v>
      </c>
      <c r="C219" s="1775" t="s">
        <v>2751</v>
      </c>
      <c r="D219" s="1775" t="s">
        <v>2752</v>
      </c>
      <c r="E219" s="1775" t="s">
        <v>2753</v>
      </c>
      <c r="F219" s="1775" t="s">
        <v>2357</v>
      </c>
      <c r="G219" s="1775" t="s">
        <v>28</v>
      </c>
      <c r="H219" s="1775" t="s">
        <v>28</v>
      </c>
      <c r="I219" s="1775" t="s">
        <v>866</v>
      </c>
    </row>
    <row r="220" spans="1:9" ht="11.25" customHeight="1">
      <c r="A220" s="1775" t="s">
        <v>2259</v>
      </c>
      <c r="B220" s="1775" t="s">
        <v>16</v>
      </c>
      <c r="C220" s="1775" t="s">
        <v>2754</v>
      </c>
      <c r="D220" s="1775" t="s">
        <v>2755</v>
      </c>
      <c r="E220" s="1775" t="s">
        <v>2756</v>
      </c>
      <c r="F220" s="1775" t="s">
        <v>2347</v>
      </c>
      <c r="G220" s="1775" t="s">
        <v>28</v>
      </c>
      <c r="H220" s="1775" t="s">
        <v>28</v>
      </c>
      <c r="I220" s="1775" t="s">
        <v>866</v>
      </c>
    </row>
    <row r="221" spans="1:9" ht="11.25" customHeight="1">
      <c r="A221" s="1775" t="s">
        <v>2259</v>
      </c>
      <c r="B221" s="1775" t="s">
        <v>16</v>
      </c>
      <c r="C221" s="1775" t="s">
        <v>2757</v>
      </c>
      <c r="D221" s="1775" t="s">
        <v>2758</v>
      </c>
      <c r="E221" s="1775" t="s">
        <v>2759</v>
      </c>
      <c r="F221" s="1775" t="s">
        <v>2760</v>
      </c>
      <c r="G221" s="1775" t="s">
        <v>28</v>
      </c>
      <c r="H221" s="1775" t="s">
        <v>28</v>
      </c>
      <c r="I221" s="1775" t="s">
        <v>866</v>
      </c>
    </row>
    <row r="222" spans="1:9" ht="11.25" customHeight="1">
      <c r="A222" s="1775" t="s">
        <v>2259</v>
      </c>
      <c r="B222" s="1775" t="s">
        <v>16</v>
      </c>
      <c r="C222" s="1775" t="s">
        <v>2395</v>
      </c>
      <c r="D222" s="1775" t="s">
        <v>2396</v>
      </c>
      <c r="E222" s="1775" t="s">
        <v>2397</v>
      </c>
      <c r="F222" s="1775" t="s">
        <v>2347</v>
      </c>
      <c r="G222" s="1775" t="s">
        <v>2398</v>
      </c>
      <c r="H222" s="1775" t="s">
        <v>28</v>
      </c>
      <c r="I222" s="1775" t="s">
        <v>866</v>
      </c>
    </row>
    <row r="223" spans="1:9" ht="11.25" customHeight="1">
      <c r="A223" s="1775" t="s">
        <v>2259</v>
      </c>
      <c r="B223" s="1775" t="s">
        <v>16</v>
      </c>
      <c r="C223" s="1775" t="s">
        <v>2399</v>
      </c>
      <c r="D223" s="1775" t="s">
        <v>2400</v>
      </c>
      <c r="E223" s="1775" t="s">
        <v>2401</v>
      </c>
      <c r="F223" s="1775" t="s">
        <v>2340</v>
      </c>
      <c r="G223" s="1775" t="s">
        <v>28</v>
      </c>
      <c r="H223" s="1775" t="s">
        <v>28</v>
      </c>
      <c r="I223" s="1775" t="s">
        <v>866</v>
      </c>
    </row>
    <row r="224" spans="1:9" ht="11.25" customHeight="1">
      <c r="A224" s="1775" t="s">
        <v>2259</v>
      </c>
      <c r="B224" s="1775" t="s">
        <v>16</v>
      </c>
      <c r="C224" s="1775" t="s">
        <v>2761</v>
      </c>
      <c r="D224" s="1775" t="s">
        <v>2762</v>
      </c>
      <c r="E224" s="1775" t="s">
        <v>2763</v>
      </c>
      <c r="F224" s="1775" t="s">
        <v>2421</v>
      </c>
      <c r="G224" s="1775" t="s">
        <v>28</v>
      </c>
      <c r="H224" s="1775" t="s">
        <v>2764</v>
      </c>
      <c r="I224" s="1775" t="s">
        <v>866</v>
      </c>
    </row>
    <row r="225" spans="1:9" ht="11.25" customHeight="1">
      <c r="A225" s="1775" t="s">
        <v>2259</v>
      </c>
      <c r="B225" s="1775" t="s">
        <v>16</v>
      </c>
      <c r="C225" s="1775" t="s">
        <v>2765</v>
      </c>
      <c r="D225" s="1775" t="s">
        <v>2766</v>
      </c>
      <c r="E225" s="1775" t="s">
        <v>2767</v>
      </c>
      <c r="F225" s="1775" t="s">
        <v>2380</v>
      </c>
      <c r="G225" s="1775" t="s">
        <v>28</v>
      </c>
      <c r="H225" s="1775" t="s">
        <v>28</v>
      </c>
      <c r="I225" s="1775" t="s">
        <v>866</v>
      </c>
    </row>
    <row r="226" spans="1:9" ht="11.25" customHeight="1">
      <c r="A226" s="1775" t="s">
        <v>2259</v>
      </c>
      <c r="B226" s="1775" t="s">
        <v>16</v>
      </c>
      <c r="C226" s="1775" t="s">
        <v>2768</v>
      </c>
      <c r="D226" s="1775" t="s">
        <v>2769</v>
      </c>
      <c r="E226" s="1775" t="s">
        <v>2770</v>
      </c>
      <c r="F226" s="1775" t="s">
        <v>2347</v>
      </c>
      <c r="G226" s="1775" t="s">
        <v>2771</v>
      </c>
      <c r="H226" s="1775" t="s">
        <v>28</v>
      </c>
      <c r="I226" s="1775" t="s">
        <v>866</v>
      </c>
    </row>
    <row r="227" spans="1:9" ht="11.25" customHeight="1">
      <c r="A227" s="1775" t="s">
        <v>2259</v>
      </c>
      <c r="B227" s="1775" t="s">
        <v>16</v>
      </c>
      <c r="C227" s="1775" t="s">
        <v>2772</v>
      </c>
      <c r="D227" s="1775" t="s">
        <v>2773</v>
      </c>
      <c r="E227" s="1775" t="s">
        <v>2774</v>
      </c>
      <c r="F227" s="1775" t="s">
        <v>2714</v>
      </c>
      <c r="G227" s="1775" t="s">
        <v>2775</v>
      </c>
      <c r="H227" s="1775" t="s">
        <v>28</v>
      </c>
      <c r="I227" s="1775" t="s">
        <v>866</v>
      </c>
    </row>
    <row r="228" spans="1:9" ht="11.25" customHeight="1">
      <c r="A228" s="1775" t="s">
        <v>2259</v>
      </c>
      <c r="B228" s="1775" t="s">
        <v>16</v>
      </c>
      <c r="C228" s="1775" t="s">
        <v>2776</v>
      </c>
      <c r="D228" s="1775" t="s">
        <v>2777</v>
      </c>
      <c r="E228" s="1775" t="s">
        <v>2778</v>
      </c>
      <c r="F228" s="1775" t="s">
        <v>2380</v>
      </c>
      <c r="G228" s="1775" t="s">
        <v>28</v>
      </c>
      <c r="H228" s="1775" t="s">
        <v>2779</v>
      </c>
      <c r="I228" s="1775" t="s">
        <v>866</v>
      </c>
    </row>
    <row r="229" spans="1:9" ht="11.25" customHeight="1">
      <c r="A229" s="1775" t="s">
        <v>2259</v>
      </c>
      <c r="B229" s="1775" t="s">
        <v>16</v>
      </c>
      <c r="C229" s="1775" t="s">
        <v>2402</v>
      </c>
      <c r="D229" s="1775" t="s">
        <v>2403</v>
      </c>
      <c r="E229" s="1775" t="s">
        <v>2404</v>
      </c>
      <c r="F229" s="1775" t="s">
        <v>2340</v>
      </c>
      <c r="G229" s="1775" t="s">
        <v>28</v>
      </c>
      <c r="H229" s="1775" t="s">
        <v>28</v>
      </c>
      <c r="I229" s="1775" t="s">
        <v>866</v>
      </c>
    </row>
    <row r="230" spans="1:9" ht="11.25" customHeight="1">
      <c r="A230" s="1775" t="s">
        <v>2259</v>
      </c>
      <c r="B230" s="1775" t="s">
        <v>16</v>
      </c>
      <c r="C230" s="1775" t="s">
        <v>2780</v>
      </c>
      <c r="D230" s="1775" t="s">
        <v>2781</v>
      </c>
      <c r="E230" s="1775" t="s">
        <v>2782</v>
      </c>
      <c r="F230" s="1775" t="s">
        <v>2308</v>
      </c>
      <c r="G230" s="1775" t="s">
        <v>28</v>
      </c>
      <c r="H230" s="1775" t="s">
        <v>28</v>
      </c>
      <c r="I230" s="1775" t="s">
        <v>866</v>
      </c>
    </row>
    <row r="231" spans="1:9" ht="11.25" customHeight="1">
      <c r="A231" s="1775" t="s">
        <v>2259</v>
      </c>
      <c r="B231" s="1775" t="s">
        <v>16</v>
      </c>
      <c r="C231" s="1775" t="s">
        <v>2783</v>
      </c>
      <c r="D231" s="1775" t="s">
        <v>2784</v>
      </c>
      <c r="E231" s="1775" t="s">
        <v>2785</v>
      </c>
      <c r="F231" s="1775" t="s">
        <v>2384</v>
      </c>
      <c r="G231" s="1775" t="s">
        <v>28</v>
      </c>
      <c r="H231" s="1775" t="s">
        <v>28</v>
      </c>
      <c r="I231" s="1775" t="s">
        <v>866</v>
      </c>
    </row>
    <row r="232" spans="1:9" ht="11.25" customHeight="1">
      <c r="A232" s="1775" t="s">
        <v>2259</v>
      </c>
      <c r="B232" s="1775" t="s">
        <v>16</v>
      </c>
      <c r="C232" s="1775" t="s">
        <v>2786</v>
      </c>
      <c r="D232" s="1775" t="s">
        <v>2787</v>
      </c>
      <c r="E232" s="1775" t="s">
        <v>2788</v>
      </c>
      <c r="F232" s="1775" t="s">
        <v>2714</v>
      </c>
      <c r="G232" s="1775" t="s">
        <v>2789</v>
      </c>
      <c r="H232" s="1775" t="s">
        <v>28</v>
      </c>
      <c r="I232" s="1775" t="s">
        <v>866</v>
      </c>
    </row>
    <row r="233" spans="1:9" ht="11.25" customHeight="1">
      <c r="A233" s="1775" t="s">
        <v>2259</v>
      </c>
      <c r="B233" s="1775" t="s">
        <v>16</v>
      </c>
      <c r="C233" s="1775" t="s">
        <v>2405</v>
      </c>
      <c r="D233" s="1775" t="s">
        <v>2406</v>
      </c>
      <c r="E233" s="1775" t="s">
        <v>2407</v>
      </c>
      <c r="F233" s="1775" t="s">
        <v>2408</v>
      </c>
      <c r="G233" s="1775" t="s">
        <v>28</v>
      </c>
      <c r="H233" s="1775" t="s">
        <v>28</v>
      </c>
      <c r="I233" s="1775" t="s">
        <v>866</v>
      </c>
    </row>
    <row r="234" spans="1:9" ht="11.25" customHeight="1">
      <c r="A234" s="1775" t="s">
        <v>2259</v>
      </c>
      <c r="B234" s="1775" t="s">
        <v>16</v>
      </c>
      <c r="C234" s="1775" t="s">
        <v>2790</v>
      </c>
      <c r="D234" s="1775" t="s">
        <v>2791</v>
      </c>
      <c r="E234" s="1775" t="s">
        <v>2792</v>
      </c>
      <c r="F234" s="1775" t="s">
        <v>2450</v>
      </c>
      <c r="G234" s="1775" t="s">
        <v>2793</v>
      </c>
      <c r="H234" s="1775" t="s">
        <v>28</v>
      </c>
      <c r="I234" s="1775" t="s">
        <v>866</v>
      </c>
    </row>
    <row r="235" spans="1:9" ht="11.25" customHeight="1">
      <c r="A235" s="1775" t="s">
        <v>2259</v>
      </c>
      <c r="B235" s="1775" t="s">
        <v>16</v>
      </c>
      <c r="C235" s="1775" t="s">
        <v>2794</v>
      </c>
      <c r="D235" s="1775" t="s">
        <v>2795</v>
      </c>
      <c r="E235" s="1775" t="s">
        <v>2796</v>
      </c>
      <c r="F235" s="1775" t="s">
        <v>2340</v>
      </c>
      <c r="G235" s="1775" t="s">
        <v>28</v>
      </c>
      <c r="H235" s="1775" t="s">
        <v>2797</v>
      </c>
      <c r="I235" s="1775" t="s">
        <v>866</v>
      </c>
    </row>
    <row r="236" spans="1:9" ht="11.25" customHeight="1">
      <c r="A236" s="1775" t="s">
        <v>2259</v>
      </c>
      <c r="B236" s="1775" t="s">
        <v>16</v>
      </c>
      <c r="C236" s="1775" t="s">
        <v>2798</v>
      </c>
      <c r="D236" s="1775" t="s">
        <v>2799</v>
      </c>
      <c r="E236" s="1775" t="s">
        <v>2800</v>
      </c>
      <c r="F236" s="1775" t="s">
        <v>2347</v>
      </c>
      <c r="G236" s="1775" t="s">
        <v>28</v>
      </c>
      <c r="H236" s="1775" t="s">
        <v>28</v>
      </c>
      <c r="I236" s="1775" t="s">
        <v>866</v>
      </c>
    </row>
    <row r="237" spans="1:9" ht="11.25" customHeight="1">
      <c r="A237" s="1775" t="s">
        <v>2259</v>
      </c>
      <c r="B237" s="1775" t="s">
        <v>16</v>
      </c>
      <c r="C237" s="1775" t="s">
        <v>2801</v>
      </c>
      <c r="D237" s="1775" t="s">
        <v>2802</v>
      </c>
      <c r="E237" s="1775" t="s">
        <v>2803</v>
      </c>
      <c r="F237" s="1775" t="s">
        <v>2421</v>
      </c>
      <c r="G237" s="1775" t="s">
        <v>28</v>
      </c>
      <c r="H237" s="1775" t="s">
        <v>28</v>
      </c>
      <c r="I237" s="1775" t="s">
        <v>866</v>
      </c>
    </row>
    <row r="238" spans="1:9" ht="11.25" customHeight="1">
      <c r="A238" s="1775" t="s">
        <v>2259</v>
      </c>
      <c r="B238" s="1775" t="s">
        <v>16</v>
      </c>
      <c r="C238" s="1775" t="s">
        <v>2409</v>
      </c>
      <c r="D238" s="1775" t="s">
        <v>2410</v>
      </c>
      <c r="E238" s="1775" t="s">
        <v>2411</v>
      </c>
      <c r="F238" s="1775" t="s">
        <v>2412</v>
      </c>
      <c r="G238" s="1775" t="s">
        <v>28</v>
      </c>
      <c r="H238" s="1775" t="s">
        <v>2413</v>
      </c>
      <c r="I238" s="1775" t="s">
        <v>866</v>
      </c>
    </row>
    <row r="239" spans="1:9" ht="11.25" customHeight="1">
      <c r="A239" s="1775" t="s">
        <v>2259</v>
      </c>
      <c r="B239" s="1775" t="s">
        <v>16</v>
      </c>
      <c r="C239" s="1775" t="s">
        <v>2804</v>
      </c>
      <c r="D239" s="1775" t="s">
        <v>2805</v>
      </c>
      <c r="E239" s="1775" t="s">
        <v>2806</v>
      </c>
      <c r="F239" s="1775" t="s">
        <v>2308</v>
      </c>
      <c r="G239" s="1775" t="s">
        <v>28</v>
      </c>
      <c r="H239" s="1775" t="s">
        <v>28</v>
      </c>
      <c r="I239" s="1775" t="s">
        <v>866</v>
      </c>
    </row>
    <row r="240" spans="1:9" ht="11.25" customHeight="1">
      <c r="A240" s="1775" t="s">
        <v>2259</v>
      </c>
      <c r="B240" s="1775" t="s">
        <v>16</v>
      </c>
      <c r="C240" s="1775" t="s">
        <v>2807</v>
      </c>
      <c r="D240" s="1775" t="s">
        <v>2808</v>
      </c>
      <c r="E240" s="1775" t="s">
        <v>2809</v>
      </c>
      <c r="F240" s="1775" t="s">
        <v>2347</v>
      </c>
      <c r="G240" s="1775" t="s">
        <v>2810</v>
      </c>
      <c r="H240" s="1775" t="s">
        <v>28</v>
      </c>
      <c r="I240" s="1775" t="s">
        <v>866</v>
      </c>
    </row>
    <row r="241" spans="1:9" ht="11.25" customHeight="1">
      <c r="A241" s="1775" t="s">
        <v>2259</v>
      </c>
      <c r="B241" s="1775" t="s">
        <v>16</v>
      </c>
      <c r="C241" s="1775" t="s">
        <v>2811</v>
      </c>
      <c r="D241" s="1775" t="s">
        <v>2812</v>
      </c>
      <c r="E241" s="1775" t="s">
        <v>2813</v>
      </c>
      <c r="F241" s="1775" t="s">
        <v>2714</v>
      </c>
      <c r="G241" s="1775" t="s">
        <v>28</v>
      </c>
      <c r="H241" s="1775" t="s">
        <v>28</v>
      </c>
      <c r="I241" s="1775" t="s">
        <v>866</v>
      </c>
    </row>
    <row r="242" spans="1:9" ht="11.25" customHeight="1">
      <c r="A242" s="1775" t="s">
        <v>2259</v>
      </c>
      <c r="B242" s="1775" t="s">
        <v>16</v>
      </c>
      <c r="C242" s="1775" t="s">
        <v>2422</v>
      </c>
      <c r="D242" s="1775" t="s">
        <v>2423</v>
      </c>
      <c r="E242" s="1775" t="s">
        <v>2424</v>
      </c>
      <c r="F242" s="1775" t="s">
        <v>2408</v>
      </c>
      <c r="G242" s="1775" t="s">
        <v>28</v>
      </c>
      <c r="H242" s="1775" t="s">
        <v>28</v>
      </c>
      <c r="I242" s="1775" t="s">
        <v>866</v>
      </c>
    </row>
    <row r="243" spans="1:9" ht="11.25" customHeight="1">
      <c r="A243" s="1775" t="s">
        <v>2259</v>
      </c>
      <c r="B243" s="1775" t="s">
        <v>16</v>
      </c>
      <c r="C243" s="1775" t="s">
        <v>2814</v>
      </c>
      <c r="D243" s="1775" t="s">
        <v>2815</v>
      </c>
      <c r="E243" s="1775" t="s">
        <v>2816</v>
      </c>
      <c r="F243" s="1775" t="s">
        <v>2450</v>
      </c>
      <c r="G243" s="1775" t="s">
        <v>28</v>
      </c>
      <c r="H243" s="1775" t="s">
        <v>28</v>
      </c>
      <c r="I243" s="1775" t="s">
        <v>866</v>
      </c>
    </row>
    <row r="244" spans="1:9" ht="11.25" customHeight="1">
      <c r="A244" s="1775" t="s">
        <v>2259</v>
      </c>
      <c r="B244" s="1775" t="s">
        <v>16</v>
      </c>
      <c r="C244" s="1775" t="s">
        <v>2817</v>
      </c>
      <c r="D244" s="1775" t="s">
        <v>2818</v>
      </c>
      <c r="E244" s="1775" t="s">
        <v>2819</v>
      </c>
      <c r="F244" s="1775" t="s">
        <v>2820</v>
      </c>
      <c r="G244" s="1775" t="s">
        <v>28</v>
      </c>
      <c r="H244" s="1775" t="s">
        <v>28</v>
      </c>
      <c r="I244" s="1775" t="s">
        <v>866</v>
      </c>
    </row>
    <row r="245" spans="1:9" ht="11.25" customHeight="1">
      <c r="A245" s="1775" t="s">
        <v>2259</v>
      </c>
      <c r="B245" s="1775" t="s">
        <v>16</v>
      </c>
      <c r="C245" s="1775" t="s">
        <v>2425</v>
      </c>
      <c r="D245" s="1775" t="s">
        <v>2426</v>
      </c>
      <c r="E245" s="1775" t="s">
        <v>2427</v>
      </c>
      <c r="F245" s="1775" t="s">
        <v>2428</v>
      </c>
      <c r="G245" s="1775" t="s">
        <v>28</v>
      </c>
      <c r="H245" s="1775" t="s">
        <v>2429</v>
      </c>
      <c r="I245" s="1775" t="s">
        <v>866</v>
      </c>
    </row>
    <row r="246" spans="1:9" ht="11.25" customHeight="1">
      <c r="A246" s="1775" t="s">
        <v>2259</v>
      </c>
      <c r="B246" s="1775" t="s">
        <v>16</v>
      </c>
      <c r="C246" s="1775" t="s">
        <v>2821</v>
      </c>
      <c r="D246" s="1775" t="s">
        <v>2822</v>
      </c>
      <c r="E246" s="1775" t="s">
        <v>2823</v>
      </c>
      <c r="F246" s="1775" t="s">
        <v>2347</v>
      </c>
      <c r="G246" s="1775" t="s">
        <v>28</v>
      </c>
      <c r="H246" s="1775" t="s">
        <v>28</v>
      </c>
      <c r="I246" s="1775" t="s">
        <v>866</v>
      </c>
    </row>
    <row r="247" spans="1:9" ht="11.25" customHeight="1">
      <c r="A247" s="1775" t="s">
        <v>2259</v>
      </c>
      <c r="B247" s="1775" t="s">
        <v>16</v>
      </c>
      <c r="C247" s="1775" t="s">
        <v>2430</v>
      </c>
      <c r="D247" s="1775" t="s">
        <v>2431</v>
      </c>
      <c r="E247" s="1775" t="s">
        <v>2432</v>
      </c>
      <c r="F247" s="1775" t="s">
        <v>2433</v>
      </c>
      <c r="G247" s="1775" t="s">
        <v>28</v>
      </c>
      <c r="H247" s="1775" t="s">
        <v>28</v>
      </c>
      <c r="I247" s="1775" t="s">
        <v>866</v>
      </c>
    </row>
    <row r="248" spans="1:9" ht="11.25" customHeight="1">
      <c r="A248" s="1775" t="s">
        <v>2259</v>
      </c>
      <c r="B248" s="1775" t="s">
        <v>16</v>
      </c>
      <c r="C248" s="1775" t="s">
        <v>2434</v>
      </c>
      <c r="D248" s="1775" t="s">
        <v>2435</v>
      </c>
      <c r="E248" s="1775" t="s">
        <v>2436</v>
      </c>
      <c r="F248" s="1775" t="s">
        <v>2340</v>
      </c>
      <c r="G248" s="1775" t="s">
        <v>28</v>
      </c>
      <c r="H248" s="1775" t="s">
        <v>28</v>
      </c>
      <c r="I248" s="1775" t="s">
        <v>866</v>
      </c>
    </row>
    <row r="249" spans="1:9" ht="11.25" customHeight="1">
      <c r="A249" s="1775" t="s">
        <v>2259</v>
      </c>
      <c r="B249" s="1775" t="s">
        <v>16</v>
      </c>
      <c r="C249" s="1775" t="s">
        <v>2824</v>
      </c>
      <c r="D249" s="1775" t="s">
        <v>2825</v>
      </c>
      <c r="E249" s="1775" t="s">
        <v>2826</v>
      </c>
      <c r="F249" s="1775" t="s">
        <v>2760</v>
      </c>
      <c r="G249" s="1775" t="s">
        <v>28</v>
      </c>
      <c r="H249" s="1775" t="s">
        <v>2827</v>
      </c>
      <c r="I249" s="1775" t="s">
        <v>866</v>
      </c>
    </row>
    <row r="250" spans="1:9" ht="11.25" customHeight="1">
      <c r="A250" s="1775" t="s">
        <v>2259</v>
      </c>
      <c r="B250" s="1775" t="s">
        <v>16</v>
      </c>
      <c r="C250" s="1775" t="s">
        <v>2828</v>
      </c>
      <c r="D250" s="1775" t="s">
        <v>2829</v>
      </c>
      <c r="E250" s="1775" t="s">
        <v>2830</v>
      </c>
      <c r="F250" s="1775" t="s">
        <v>2831</v>
      </c>
      <c r="G250" s="1775" t="s">
        <v>28</v>
      </c>
      <c r="H250" s="1775" t="s">
        <v>28</v>
      </c>
      <c r="I250" s="1775" t="s">
        <v>866</v>
      </c>
    </row>
    <row r="251" spans="1:9" ht="11.25" customHeight="1">
      <c r="A251" s="1775" t="s">
        <v>2259</v>
      </c>
      <c r="B251" s="1775" t="s">
        <v>16</v>
      </c>
      <c r="C251" s="1775" t="s">
        <v>2832</v>
      </c>
      <c r="D251" s="1775" t="s">
        <v>2833</v>
      </c>
      <c r="E251" s="1775" t="s">
        <v>2834</v>
      </c>
      <c r="F251" s="1775" t="s">
        <v>2835</v>
      </c>
      <c r="G251" s="1775" t="s">
        <v>28</v>
      </c>
      <c r="H251" s="1775" t="s">
        <v>2836</v>
      </c>
      <c r="I251" s="1775" t="s">
        <v>866</v>
      </c>
    </row>
    <row r="252" spans="1:9" ht="11.25" customHeight="1">
      <c r="A252" s="1775" t="s">
        <v>2259</v>
      </c>
      <c r="B252" s="1775" t="s">
        <v>16</v>
      </c>
      <c r="C252" s="1775" t="s">
        <v>2437</v>
      </c>
      <c r="D252" s="1775" t="s">
        <v>2438</v>
      </c>
      <c r="E252" s="1775" t="s">
        <v>2439</v>
      </c>
      <c r="F252" s="1775" t="s">
        <v>2351</v>
      </c>
      <c r="G252" s="1775" t="s">
        <v>28</v>
      </c>
      <c r="H252" s="1775" t="s">
        <v>28</v>
      </c>
      <c r="I252" s="1775" t="s">
        <v>866</v>
      </c>
    </row>
    <row r="253" spans="1:9" ht="11.25" customHeight="1">
      <c r="A253" s="1775" t="s">
        <v>2259</v>
      </c>
      <c r="B253" s="1775" t="s">
        <v>16</v>
      </c>
      <c r="C253" s="1775" t="s">
        <v>2837</v>
      </c>
      <c r="D253" s="1775" t="s">
        <v>2838</v>
      </c>
      <c r="E253" s="1775" t="s">
        <v>2839</v>
      </c>
      <c r="F253" s="1775" t="s">
        <v>2450</v>
      </c>
      <c r="G253" s="1775" t="s">
        <v>28</v>
      </c>
      <c r="H253" s="1775" t="s">
        <v>28</v>
      </c>
      <c r="I253" s="1775" t="s">
        <v>866</v>
      </c>
    </row>
    <row r="254" spans="1:9" ht="11.25" customHeight="1">
      <c r="A254" s="1775" t="s">
        <v>2259</v>
      </c>
      <c r="B254" s="1775" t="s">
        <v>16</v>
      </c>
      <c r="C254" s="1775" t="s">
        <v>2840</v>
      </c>
      <c r="D254" s="1775" t="s">
        <v>2841</v>
      </c>
      <c r="E254" s="1775" t="s">
        <v>2842</v>
      </c>
      <c r="F254" s="1775" t="s">
        <v>2408</v>
      </c>
      <c r="G254" s="1775" t="s">
        <v>28</v>
      </c>
      <c r="H254" s="1775" t="s">
        <v>28</v>
      </c>
      <c r="I254" s="1775" t="s">
        <v>866</v>
      </c>
    </row>
    <row r="255" spans="1:9" ht="11.25" customHeight="1">
      <c r="A255" s="1775" t="s">
        <v>2259</v>
      </c>
      <c r="B255" s="1775" t="s">
        <v>16</v>
      </c>
      <c r="C255" s="1775" t="s">
        <v>2843</v>
      </c>
      <c r="D255" s="1775" t="s">
        <v>2844</v>
      </c>
      <c r="E255" s="1775" t="s">
        <v>2845</v>
      </c>
      <c r="F255" s="1775" t="s">
        <v>2450</v>
      </c>
      <c r="G255" s="1775" t="s">
        <v>28</v>
      </c>
      <c r="H255" s="1775" t="s">
        <v>28</v>
      </c>
      <c r="I255" s="1775" t="s">
        <v>866</v>
      </c>
    </row>
    <row r="256" spans="1:9" ht="11.25" customHeight="1">
      <c r="A256" s="1775" t="s">
        <v>2259</v>
      </c>
      <c r="B256" s="1775" t="s">
        <v>16</v>
      </c>
      <c r="C256" s="1775" t="s">
        <v>2440</v>
      </c>
      <c r="D256" s="1775" t="s">
        <v>2441</v>
      </c>
      <c r="E256" s="1775" t="s">
        <v>2442</v>
      </c>
      <c r="F256" s="1775" t="s">
        <v>2296</v>
      </c>
      <c r="G256" s="1775" t="s">
        <v>28</v>
      </c>
      <c r="H256" s="1775" t="s">
        <v>2443</v>
      </c>
      <c r="I256" s="1775" t="s">
        <v>866</v>
      </c>
    </row>
    <row r="257" spans="1:9" ht="11.25" customHeight="1">
      <c r="A257" s="1775" t="s">
        <v>2259</v>
      </c>
      <c r="B257" s="1775" t="s">
        <v>16</v>
      </c>
      <c r="C257" s="1775" t="s">
        <v>2444</v>
      </c>
      <c r="D257" s="1775" t="s">
        <v>2445</v>
      </c>
      <c r="E257" s="1775" t="s">
        <v>2446</v>
      </c>
      <c r="F257" s="1775" t="s">
        <v>2340</v>
      </c>
      <c r="G257" s="1775" t="s">
        <v>28</v>
      </c>
      <c r="H257" s="1775" t="s">
        <v>28</v>
      </c>
      <c r="I257" s="1775" t="s">
        <v>866</v>
      </c>
    </row>
    <row r="258" spans="1:9" ht="11.25" customHeight="1">
      <c r="A258" s="1775" t="s">
        <v>2259</v>
      </c>
      <c r="B258" s="1775" t="s">
        <v>16</v>
      </c>
      <c r="C258" s="1775" t="s">
        <v>2846</v>
      </c>
      <c r="D258" s="1775" t="s">
        <v>2847</v>
      </c>
      <c r="E258" s="1775" t="s">
        <v>2848</v>
      </c>
      <c r="F258" s="1775" t="s">
        <v>2428</v>
      </c>
      <c r="G258" s="1775" t="s">
        <v>28</v>
      </c>
      <c r="H258" s="1775" t="s">
        <v>2849</v>
      </c>
      <c r="I258" s="1775" t="s">
        <v>866</v>
      </c>
    </row>
    <row r="259" spans="1:9" ht="11.25" customHeight="1">
      <c r="A259" s="1775" t="s">
        <v>2259</v>
      </c>
      <c r="B259" s="1775" t="s">
        <v>16</v>
      </c>
      <c r="C259" s="1775" t="s">
        <v>2850</v>
      </c>
      <c r="D259" s="1775" t="s">
        <v>2851</v>
      </c>
      <c r="E259" s="1775" t="s">
        <v>2852</v>
      </c>
      <c r="F259" s="1775" t="s">
        <v>2428</v>
      </c>
      <c r="G259" s="1775" t="s">
        <v>2853</v>
      </c>
      <c r="H259" s="1775" t="s">
        <v>28</v>
      </c>
      <c r="I259" s="1775" t="s">
        <v>866</v>
      </c>
    </row>
    <row r="260" spans="1:9" ht="11.25" customHeight="1">
      <c r="A260" s="1775" t="s">
        <v>2259</v>
      </c>
      <c r="B260" s="1775" t="s">
        <v>16</v>
      </c>
      <c r="C260" s="1775" t="s">
        <v>2447</v>
      </c>
      <c r="D260" s="1775" t="s">
        <v>2448</v>
      </c>
      <c r="E260" s="1775" t="s">
        <v>2449</v>
      </c>
      <c r="F260" s="1775" t="s">
        <v>2450</v>
      </c>
      <c r="G260" s="1775" t="s">
        <v>28</v>
      </c>
      <c r="H260" s="1775" t="s">
        <v>28</v>
      </c>
      <c r="I260" s="1775" t="s">
        <v>866</v>
      </c>
    </row>
    <row r="261" spans="1:9" ht="11.25" customHeight="1">
      <c r="A261" s="1775" t="s">
        <v>2259</v>
      </c>
      <c r="B261" s="1775" t="s">
        <v>16</v>
      </c>
      <c r="C261" s="1775" t="s">
        <v>2854</v>
      </c>
      <c r="D261" s="1775" t="s">
        <v>2855</v>
      </c>
      <c r="E261" s="1775" t="s">
        <v>2856</v>
      </c>
      <c r="F261" s="1775" t="s">
        <v>2450</v>
      </c>
      <c r="G261" s="1775" t="s">
        <v>28</v>
      </c>
      <c r="H261" s="1775" t="s">
        <v>28</v>
      </c>
      <c r="I261" s="1775" t="s">
        <v>866</v>
      </c>
    </row>
    <row r="262" spans="1:9" ht="11.25" customHeight="1">
      <c r="A262" s="1775" t="s">
        <v>2259</v>
      </c>
      <c r="B262" s="1775" t="s">
        <v>16</v>
      </c>
      <c r="C262" s="1775" t="s">
        <v>2857</v>
      </c>
      <c r="D262" s="1775" t="s">
        <v>2858</v>
      </c>
      <c r="E262" s="1775" t="s">
        <v>2859</v>
      </c>
      <c r="F262" s="1775" t="s">
        <v>2450</v>
      </c>
      <c r="G262" s="1775" t="s">
        <v>28</v>
      </c>
      <c r="H262" s="1775" t="s">
        <v>28</v>
      </c>
      <c r="I262" s="1775" t="s">
        <v>866</v>
      </c>
    </row>
    <row r="263" spans="1:9" ht="11.25" customHeight="1">
      <c r="A263" s="1775" t="s">
        <v>2259</v>
      </c>
      <c r="B263" s="1775" t="s">
        <v>16</v>
      </c>
      <c r="C263" s="1775" t="s">
        <v>2860</v>
      </c>
      <c r="D263" s="1775" t="s">
        <v>2861</v>
      </c>
      <c r="E263" s="1775" t="s">
        <v>2862</v>
      </c>
      <c r="F263" s="1775" t="s">
        <v>2421</v>
      </c>
      <c r="G263" s="1775" t="s">
        <v>2863</v>
      </c>
      <c r="H263" s="1775" t="s">
        <v>28</v>
      </c>
      <c r="I263" s="1775" t="s">
        <v>866</v>
      </c>
    </row>
    <row r="264" spans="1:9" ht="11.25" customHeight="1">
      <c r="A264" s="1775" t="s">
        <v>2259</v>
      </c>
      <c r="B264" s="1775" t="s">
        <v>16</v>
      </c>
      <c r="C264" s="1775" t="s">
        <v>2451</v>
      </c>
      <c r="D264" s="1775" t="s">
        <v>2452</v>
      </c>
      <c r="E264" s="1775" t="s">
        <v>2453</v>
      </c>
      <c r="F264" s="1775" t="s">
        <v>2421</v>
      </c>
      <c r="G264" s="1775" t="s">
        <v>28</v>
      </c>
      <c r="H264" s="1775" t="s">
        <v>28</v>
      </c>
      <c r="I264" s="1775" t="s">
        <v>866</v>
      </c>
    </row>
    <row r="265" spans="1:9" ht="11.25" customHeight="1">
      <c r="A265" s="1775" t="s">
        <v>2259</v>
      </c>
      <c r="B265" s="1775" t="s">
        <v>16</v>
      </c>
      <c r="C265" s="1775" t="s">
        <v>2864</v>
      </c>
      <c r="D265" s="1775" t="s">
        <v>2865</v>
      </c>
      <c r="E265" s="1775" t="s">
        <v>2866</v>
      </c>
      <c r="F265" s="1775" t="s">
        <v>2421</v>
      </c>
      <c r="G265" s="1775" t="s">
        <v>28</v>
      </c>
      <c r="H265" s="1775" t="s">
        <v>28</v>
      </c>
      <c r="I265" s="1775" t="s">
        <v>866</v>
      </c>
    </row>
    <row r="266" spans="1:9" ht="11.25" customHeight="1">
      <c r="A266" s="1775" t="s">
        <v>2259</v>
      </c>
      <c r="B266" s="1775" t="s">
        <v>16</v>
      </c>
      <c r="C266" s="1775" t="s">
        <v>2867</v>
      </c>
      <c r="D266" s="1775" t="s">
        <v>2868</v>
      </c>
      <c r="E266" s="1775" t="s">
        <v>2869</v>
      </c>
      <c r="F266" s="1775" t="s">
        <v>2421</v>
      </c>
      <c r="G266" s="1775" t="s">
        <v>28</v>
      </c>
      <c r="H266" s="1775" t="s">
        <v>28</v>
      </c>
      <c r="I266" s="1775" t="s">
        <v>866</v>
      </c>
    </row>
    <row r="267" spans="1:9" ht="11.25" customHeight="1">
      <c r="A267" s="1775" t="s">
        <v>2259</v>
      </c>
      <c r="B267" s="1775" t="s">
        <v>16</v>
      </c>
      <c r="C267" s="1775" t="s">
        <v>2870</v>
      </c>
      <c r="D267" s="1775" t="s">
        <v>2871</v>
      </c>
      <c r="E267" s="1775" t="s">
        <v>2872</v>
      </c>
      <c r="F267" s="1775" t="s">
        <v>2421</v>
      </c>
      <c r="G267" s="1775" t="s">
        <v>28</v>
      </c>
      <c r="H267" s="1775" t="s">
        <v>28</v>
      </c>
      <c r="I267" s="1775" t="s">
        <v>866</v>
      </c>
    </row>
    <row r="268" spans="1:9" ht="11.25" customHeight="1">
      <c r="A268" s="1775" t="s">
        <v>2259</v>
      </c>
      <c r="B268" s="1775" t="s">
        <v>16</v>
      </c>
      <c r="C268" s="1775" t="s">
        <v>2873</v>
      </c>
      <c r="D268" s="1775" t="s">
        <v>2874</v>
      </c>
      <c r="E268" s="1775" t="s">
        <v>2875</v>
      </c>
      <c r="F268" s="1775" t="s">
        <v>2421</v>
      </c>
      <c r="G268" s="1775" t="s">
        <v>28</v>
      </c>
      <c r="H268" s="1775" t="s">
        <v>28</v>
      </c>
      <c r="I268" s="1775" t="s">
        <v>866</v>
      </c>
    </row>
    <row r="269" spans="1:9" ht="11.25" customHeight="1">
      <c r="A269" s="1775" t="s">
        <v>2259</v>
      </c>
      <c r="B269" s="1775" t="s">
        <v>16</v>
      </c>
      <c r="C269" s="1775" t="s">
        <v>2876</v>
      </c>
      <c r="D269" s="1775" t="s">
        <v>2877</v>
      </c>
      <c r="E269" s="1775" t="s">
        <v>2878</v>
      </c>
      <c r="F269" s="1775" t="s">
        <v>2421</v>
      </c>
      <c r="G269" s="1775" t="s">
        <v>28</v>
      </c>
      <c r="H269" s="1775" t="s">
        <v>28</v>
      </c>
      <c r="I269" s="1775" t="s">
        <v>866</v>
      </c>
    </row>
    <row r="270" spans="1:9" ht="11.25" customHeight="1">
      <c r="A270" s="1775" t="s">
        <v>2259</v>
      </c>
      <c r="B270" s="1775" t="s">
        <v>16</v>
      </c>
      <c r="C270" s="1775" t="s">
        <v>2879</v>
      </c>
      <c r="D270" s="1775" t="s">
        <v>2880</v>
      </c>
      <c r="E270" s="1775" t="s">
        <v>2881</v>
      </c>
      <c r="F270" s="1775" t="s">
        <v>2421</v>
      </c>
      <c r="G270" s="1775" t="s">
        <v>28</v>
      </c>
      <c r="H270" s="1775" t="s">
        <v>28</v>
      </c>
      <c r="I270" s="1775" t="s">
        <v>866</v>
      </c>
    </row>
    <row r="271" spans="1:9" ht="11.25" customHeight="1">
      <c r="A271" s="1775" t="s">
        <v>2259</v>
      </c>
      <c r="B271" s="1775" t="s">
        <v>16</v>
      </c>
      <c r="C271" s="1775" t="s">
        <v>2882</v>
      </c>
      <c r="D271" s="1775" t="s">
        <v>2883</v>
      </c>
      <c r="E271" s="1775" t="s">
        <v>2884</v>
      </c>
      <c r="F271" s="1775" t="s">
        <v>2421</v>
      </c>
      <c r="G271" s="1775" t="s">
        <v>28</v>
      </c>
      <c r="H271" s="1775" t="s">
        <v>2885</v>
      </c>
      <c r="I271" s="1775" t="s">
        <v>866</v>
      </c>
    </row>
    <row r="272" spans="1:9" ht="11.25" customHeight="1">
      <c r="A272" s="1775" t="s">
        <v>2259</v>
      </c>
      <c r="B272" s="1775" t="s">
        <v>16</v>
      </c>
      <c r="C272" s="1775" t="s">
        <v>2454</v>
      </c>
      <c r="D272" s="1775" t="s">
        <v>2455</v>
      </c>
      <c r="E272" s="1775" t="s">
        <v>2456</v>
      </c>
      <c r="F272" s="1775" t="s">
        <v>2388</v>
      </c>
      <c r="G272" s="1775" t="s">
        <v>28</v>
      </c>
      <c r="H272" s="1775" t="s">
        <v>2457</v>
      </c>
      <c r="I272" s="1775" t="s">
        <v>866</v>
      </c>
    </row>
    <row r="273" spans="1:9" ht="11.25" customHeight="1">
      <c r="A273" s="1775" t="s">
        <v>2259</v>
      </c>
      <c r="B273" s="1775" t="s">
        <v>16</v>
      </c>
      <c r="C273" s="1775" t="s">
        <v>2458</v>
      </c>
      <c r="D273" s="1775" t="s">
        <v>2459</v>
      </c>
      <c r="E273" s="1775" t="s">
        <v>2460</v>
      </c>
      <c r="F273" s="1775" t="s">
        <v>2340</v>
      </c>
      <c r="G273" s="1775" t="s">
        <v>28</v>
      </c>
      <c r="H273" s="1775" t="s">
        <v>28</v>
      </c>
      <c r="I273" s="1775" t="s">
        <v>866</v>
      </c>
    </row>
    <row r="274" spans="1:9" ht="11.25" customHeight="1">
      <c r="A274" s="1775" t="s">
        <v>2259</v>
      </c>
      <c r="B274" s="1775" t="s">
        <v>16</v>
      </c>
      <c r="C274" s="1775" t="s">
        <v>2461</v>
      </c>
      <c r="D274" s="1775" t="s">
        <v>2462</v>
      </c>
      <c r="E274" s="1775" t="s">
        <v>2463</v>
      </c>
      <c r="F274" s="1775" t="s">
        <v>2388</v>
      </c>
      <c r="G274" s="1775" t="s">
        <v>28</v>
      </c>
      <c r="H274" s="1775" t="s">
        <v>28</v>
      </c>
      <c r="I274" s="1775" t="s">
        <v>866</v>
      </c>
    </row>
    <row r="275" spans="1:9" ht="11.25" customHeight="1">
      <c r="A275" s="1775" t="s">
        <v>2259</v>
      </c>
      <c r="B275" s="1775" t="s">
        <v>16</v>
      </c>
      <c r="C275" s="1775" t="s">
        <v>2464</v>
      </c>
      <c r="D275" s="1775" t="s">
        <v>2465</v>
      </c>
      <c r="E275" s="1775" t="s">
        <v>2466</v>
      </c>
      <c r="F275" s="1775" t="s">
        <v>2340</v>
      </c>
      <c r="G275" s="1775" t="s">
        <v>2467</v>
      </c>
      <c r="H275" s="1775" t="s">
        <v>28</v>
      </c>
      <c r="I275" s="1775" t="s">
        <v>866</v>
      </c>
    </row>
    <row r="276" spans="1:9" ht="11.25" customHeight="1">
      <c r="A276" s="1775" t="s">
        <v>2259</v>
      </c>
      <c r="B276" s="1775" t="s">
        <v>16</v>
      </c>
      <c r="C276" s="1775" t="s">
        <v>2468</v>
      </c>
      <c r="D276" s="1775" t="s">
        <v>2469</v>
      </c>
      <c r="E276" s="1775" t="s">
        <v>2470</v>
      </c>
      <c r="F276" s="1775" t="s">
        <v>2388</v>
      </c>
      <c r="G276" s="1775" t="s">
        <v>2471</v>
      </c>
      <c r="H276" s="1775" t="s">
        <v>28</v>
      </c>
      <c r="I276" s="1775" t="s">
        <v>866</v>
      </c>
    </row>
    <row r="277" spans="1:9" ht="11.25" customHeight="1">
      <c r="A277" s="1775" t="s">
        <v>2259</v>
      </c>
      <c r="B277" s="1775" t="s">
        <v>16</v>
      </c>
      <c r="C277" s="1775" t="s">
        <v>2886</v>
      </c>
      <c r="D277" s="1775" t="s">
        <v>2469</v>
      </c>
      <c r="E277" s="1775" t="s">
        <v>2887</v>
      </c>
      <c r="F277" s="1775" t="s">
        <v>2888</v>
      </c>
      <c r="G277" s="1775" t="s">
        <v>28</v>
      </c>
      <c r="H277" s="1775" t="s">
        <v>28</v>
      </c>
      <c r="I277" s="1775" t="s">
        <v>866</v>
      </c>
    </row>
    <row r="278" spans="1:9" ht="11.25" customHeight="1">
      <c r="A278" s="1775" t="s">
        <v>2259</v>
      </c>
      <c r="B278" s="1775" t="s">
        <v>16</v>
      </c>
      <c r="C278" s="1775" t="s">
        <v>2889</v>
      </c>
      <c r="D278" s="1775" t="s">
        <v>2890</v>
      </c>
      <c r="E278" s="1775" t="s">
        <v>2891</v>
      </c>
      <c r="F278" s="1775" t="s">
        <v>2421</v>
      </c>
      <c r="G278" s="1775" t="s">
        <v>28</v>
      </c>
      <c r="H278" s="1775" t="s">
        <v>28</v>
      </c>
      <c r="I278" s="1775" t="s">
        <v>866</v>
      </c>
    </row>
    <row r="279" spans="1:9" ht="11.25" customHeight="1">
      <c r="A279" s="1775" t="s">
        <v>2259</v>
      </c>
      <c r="B279" s="1775" t="s">
        <v>16</v>
      </c>
      <c r="C279" s="1775" t="s">
        <v>2892</v>
      </c>
      <c r="D279" s="1775" t="s">
        <v>2893</v>
      </c>
      <c r="E279" s="1775" t="s">
        <v>2894</v>
      </c>
      <c r="F279" s="1775" t="s">
        <v>2421</v>
      </c>
      <c r="G279" s="1775" t="s">
        <v>28</v>
      </c>
      <c r="H279" s="1775" t="s">
        <v>28</v>
      </c>
      <c r="I279" s="1775" t="s">
        <v>866</v>
      </c>
    </row>
    <row r="280" spans="1:9" ht="11.25" customHeight="1">
      <c r="A280" s="1775" t="s">
        <v>2259</v>
      </c>
      <c r="B280" s="1775" t="s">
        <v>16</v>
      </c>
      <c r="C280" s="1775" t="s">
        <v>2895</v>
      </c>
      <c r="D280" s="1775" t="s">
        <v>2896</v>
      </c>
      <c r="E280" s="1775" t="s">
        <v>2897</v>
      </c>
      <c r="F280" s="1775" t="s">
        <v>2388</v>
      </c>
      <c r="G280" s="1775" t="s">
        <v>28</v>
      </c>
      <c r="H280" s="1775" t="s">
        <v>28</v>
      </c>
      <c r="I280" s="1775" t="s">
        <v>866</v>
      </c>
    </row>
    <row r="281" spans="1:9" ht="11.25" customHeight="1">
      <c r="A281" s="1775" t="s">
        <v>2259</v>
      </c>
      <c r="B281" s="1775" t="s">
        <v>16</v>
      </c>
      <c r="C281" s="1775" t="s">
        <v>2476</v>
      </c>
      <c r="D281" s="1775" t="s">
        <v>2477</v>
      </c>
      <c r="E281" s="1775" t="s">
        <v>2478</v>
      </c>
      <c r="F281" s="1775" t="s">
        <v>2450</v>
      </c>
      <c r="G281" s="1775" t="s">
        <v>28</v>
      </c>
      <c r="H281" s="1775" t="s">
        <v>28</v>
      </c>
      <c r="I281" s="1775" t="s">
        <v>866</v>
      </c>
    </row>
    <row r="282" spans="1:9" ht="11.25" customHeight="1">
      <c r="A282" s="1775" t="s">
        <v>2259</v>
      </c>
      <c r="B282" s="1775" t="s">
        <v>16</v>
      </c>
      <c r="C282" s="1775" t="s">
        <v>2898</v>
      </c>
      <c r="D282" s="1775" t="s">
        <v>2899</v>
      </c>
      <c r="E282" s="1775" t="s">
        <v>2316</v>
      </c>
      <c r="F282" s="1775" t="s">
        <v>2900</v>
      </c>
      <c r="G282" s="1775" t="s">
        <v>28</v>
      </c>
      <c r="H282" s="1775" t="s">
        <v>28</v>
      </c>
      <c r="I282" s="1775" t="s">
        <v>866</v>
      </c>
    </row>
    <row r="283" spans="1:9" ht="11.25" customHeight="1">
      <c r="A283" s="1775" t="s">
        <v>2259</v>
      </c>
      <c r="B283" s="1775" t="s">
        <v>16</v>
      </c>
      <c r="C283" s="1775" t="s">
        <v>2482</v>
      </c>
      <c r="D283" s="1775" t="s">
        <v>2483</v>
      </c>
      <c r="E283" s="1775" t="s">
        <v>2484</v>
      </c>
      <c r="F283" s="1775" t="s">
        <v>2421</v>
      </c>
      <c r="G283" s="1775" t="s">
        <v>28</v>
      </c>
      <c r="H283" s="1775" t="s">
        <v>28</v>
      </c>
      <c r="I283" s="1775" t="s">
        <v>866</v>
      </c>
    </row>
    <row r="284" spans="1:9" ht="11.25" customHeight="1">
      <c r="A284" s="1775" t="s">
        <v>2259</v>
      </c>
      <c r="B284" s="1775" t="s">
        <v>16</v>
      </c>
      <c r="C284" s="1775" t="s">
        <v>2901</v>
      </c>
      <c r="D284" s="1775" t="s">
        <v>2902</v>
      </c>
      <c r="E284" s="1775" t="s">
        <v>2903</v>
      </c>
      <c r="F284" s="1775" t="s">
        <v>2475</v>
      </c>
      <c r="G284" s="1775" t="s">
        <v>28</v>
      </c>
      <c r="H284" s="1775" t="s">
        <v>28</v>
      </c>
      <c r="I284" s="1775" t="s">
        <v>866</v>
      </c>
    </row>
    <row r="285" spans="1:9" ht="11.25" customHeight="1">
      <c r="A285" s="1775" t="s">
        <v>2259</v>
      </c>
      <c r="B285" s="1775" t="s">
        <v>16</v>
      </c>
      <c r="C285" s="1775" t="s">
        <v>2904</v>
      </c>
      <c r="D285" s="1775" t="s">
        <v>2905</v>
      </c>
      <c r="E285" s="1775" t="s">
        <v>2906</v>
      </c>
      <c r="F285" s="1775" t="s">
        <v>2421</v>
      </c>
      <c r="G285" s="1775" t="s">
        <v>28</v>
      </c>
      <c r="H285" s="1775" t="s">
        <v>28</v>
      </c>
      <c r="I285" s="1775" t="s">
        <v>866</v>
      </c>
    </row>
    <row r="286" spans="1:9" ht="11.25" customHeight="1">
      <c r="A286" s="1775" t="s">
        <v>2259</v>
      </c>
      <c r="B286" s="1775" t="s">
        <v>16</v>
      </c>
      <c r="C286" s="1775" t="s">
        <v>2907</v>
      </c>
      <c r="D286" s="1775" t="s">
        <v>2908</v>
      </c>
      <c r="E286" s="1775" t="s">
        <v>2909</v>
      </c>
      <c r="F286" s="1775" t="s">
        <v>2597</v>
      </c>
      <c r="G286" s="1775" t="s">
        <v>28</v>
      </c>
      <c r="H286" s="1775" t="s">
        <v>28</v>
      </c>
      <c r="I286" s="1775" t="s">
        <v>866</v>
      </c>
    </row>
    <row r="287" spans="1:9" ht="11.25" customHeight="1">
      <c r="A287" s="1775" t="s">
        <v>2259</v>
      </c>
      <c r="B287" s="1775" t="s">
        <v>16</v>
      </c>
      <c r="C287" s="1775" t="s">
        <v>2910</v>
      </c>
      <c r="D287" s="1775" t="s">
        <v>2911</v>
      </c>
      <c r="E287" s="1775" t="s">
        <v>2912</v>
      </c>
      <c r="F287" s="1775" t="s">
        <v>2428</v>
      </c>
      <c r="G287" s="1775" t="s">
        <v>28</v>
      </c>
      <c r="H287" s="1775" t="s">
        <v>28</v>
      </c>
      <c r="I287" s="1775" t="s">
        <v>866</v>
      </c>
    </row>
    <row r="288" spans="1:9" ht="11.25" customHeight="1">
      <c r="A288" s="1775" t="s">
        <v>2259</v>
      </c>
      <c r="B288" s="1775" t="s">
        <v>16</v>
      </c>
      <c r="C288" s="1775" t="s">
        <v>2913</v>
      </c>
      <c r="D288" s="1775" t="s">
        <v>2914</v>
      </c>
      <c r="E288" s="1775" t="s">
        <v>2915</v>
      </c>
      <c r="F288" s="1775" t="s">
        <v>2384</v>
      </c>
      <c r="G288" s="1775" t="s">
        <v>28</v>
      </c>
      <c r="H288" s="1775" t="s">
        <v>28</v>
      </c>
      <c r="I288" s="1775" t="s">
        <v>866</v>
      </c>
    </row>
    <row r="289" spans="1:9" ht="11.25" customHeight="1">
      <c r="A289" s="1775" t="s">
        <v>2259</v>
      </c>
      <c r="B289" s="1775" t="s">
        <v>16</v>
      </c>
      <c r="C289" s="1775" t="s">
        <v>2916</v>
      </c>
      <c r="D289" s="1775" t="s">
        <v>2917</v>
      </c>
      <c r="E289" s="1775" t="s">
        <v>2918</v>
      </c>
      <c r="F289" s="1775" t="s">
        <v>2556</v>
      </c>
      <c r="G289" s="1775" t="s">
        <v>28</v>
      </c>
      <c r="H289" s="1775" t="s">
        <v>28</v>
      </c>
      <c r="I289" s="1775" t="s">
        <v>866</v>
      </c>
    </row>
    <row r="290" spans="1:9" ht="11.25" customHeight="1">
      <c r="A290" s="1775" t="s">
        <v>2259</v>
      </c>
      <c r="B290" s="1775" t="s">
        <v>16</v>
      </c>
      <c r="C290" s="1775" t="s">
        <v>2919</v>
      </c>
      <c r="D290" s="1775" t="s">
        <v>2920</v>
      </c>
      <c r="E290" s="1775" t="s">
        <v>2921</v>
      </c>
      <c r="F290" s="1775" t="s">
        <v>2714</v>
      </c>
      <c r="G290" s="1775" t="s">
        <v>2922</v>
      </c>
      <c r="H290" s="1775" t="s">
        <v>28</v>
      </c>
      <c r="I290" s="1775" t="s">
        <v>866</v>
      </c>
    </row>
    <row r="291" spans="1:9" ht="11.25" customHeight="1">
      <c r="A291" s="1775" t="s">
        <v>2259</v>
      </c>
      <c r="B291" s="1775" t="s">
        <v>16</v>
      </c>
      <c r="C291" s="1775" t="s">
        <v>2923</v>
      </c>
      <c r="D291" s="1775" t="s">
        <v>2924</v>
      </c>
      <c r="E291" s="1775" t="s">
        <v>2925</v>
      </c>
      <c r="F291" s="1775" t="s">
        <v>2270</v>
      </c>
      <c r="G291" s="1775" t="s">
        <v>28</v>
      </c>
      <c r="H291" s="1775" t="s">
        <v>28</v>
      </c>
      <c r="I291" s="1775" t="s">
        <v>866</v>
      </c>
    </row>
    <row r="292" spans="1:9" ht="11.25" customHeight="1">
      <c r="A292" s="1775" t="s">
        <v>2259</v>
      </c>
      <c r="B292" s="1775" t="s">
        <v>16</v>
      </c>
      <c r="C292" s="1775" t="s">
        <v>2926</v>
      </c>
      <c r="D292" s="1775" t="s">
        <v>2927</v>
      </c>
      <c r="E292" s="1775" t="s">
        <v>2928</v>
      </c>
      <c r="F292" s="1775" t="s">
        <v>2289</v>
      </c>
      <c r="G292" s="1775" t="s">
        <v>2929</v>
      </c>
      <c r="H292" s="1775" t="s">
        <v>2930</v>
      </c>
      <c r="I292" s="1775" t="s">
        <v>866</v>
      </c>
    </row>
    <row r="293" spans="1:9" ht="11.25" customHeight="1">
      <c r="A293" s="1775" t="s">
        <v>2259</v>
      </c>
      <c r="B293" s="1775" t="s">
        <v>16</v>
      </c>
      <c r="C293" s="1775" t="s">
        <v>2931</v>
      </c>
      <c r="D293" s="1775" t="s">
        <v>2932</v>
      </c>
      <c r="E293" s="1775" t="s">
        <v>2933</v>
      </c>
      <c r="F293" s="1775" t="s">
        <v>2384</v>
      </c>
      <c r="G293" s="1775" t="s">
        <v>28</v>
      </c>
      <c r="H293" s="1775" t="s">
        <v>28</v>
      </c>
      <c r="I293" s="1775" t="s">
        <v>866</v>
      </c>
    </row>
    <row r="294" spans="1:9" ht="11.25" customHeight="1">
      <c r="A294" s="1775" t="s">
        <v>2259</v>
      </c>
      <c r="B294" s="1775" t="s">
        <v>16</v>
      </c>
      <c r="C294" s="1775" t="s">
        <v>2934</v>
      </c>
      <c r="D294" s="1775" t="s">
        <v>2495</v>
      </c>
      <c r="E294" s="1775" t="s">
        <v>2935</v>
      </c>
      <c r="F294" s="1775" t="s">
        <v>2380</v>
      </c>
      <c r="G294" s="1775" t="s">
        <v>28</v>
      </c>
      <c r="H294" s="1775" t="s">
        <v>28</v>
      </c>
      <c r="I294" s="1775" t="s">
        <v>866</v>
      </c>
    </row>
    <row r="295" spans="1:9" ht="11.25" customHeight="1">
      <c r="A295" s="1775" t="s">
        <v>2259</v>
      </c>
      <c r="B295" s="1775" t="s">
        <v>16</v>
      </c>
      <c r="C295" s="1775" t="s">
        <v>2936</v>
      </c>
      <c r="D295" s="1775" t="s">
        <v>2495</v>
      </c>
      <c r="E295" s="1775" t="s">
        <v>2937</v>
      </c>
      <c r="F295" s="1775" t="s">
        <v>2475</v>
      </c>
      <c r="G295" s="1775" t="s">
        <v>28</v>
      </c>
      <c r="H295" s="1775" t="s">
        <v>28</v>
      </c>
      <c r="I295" s="1775" t="s">
        <v>866</v>
      </c>
    </row>
    <row r="296" spans="1:9" ht="11.25" customHeight="1">
      <c r="A296" s="1775" t="s">
        <v>2259</v>
      </c>
      <c r="B296" s="1775" t="s">
        <v>16</v>
      </c>
      <c r="C296" s="1775" t="s">
        <v>2494</v>
      </c>
      <c r="D296" s="1775" t="s">
        <v>2495</v>
      </c>
      <c r="E296" s="1775" t="s">
        <v>2496</v>
      </c>
      <c r="F296" s="1775" t="s">
        <v>2340</v>
      </c>
      <c r="G296" s="1775" t="s">
        <v>28</v>
      </c>
      <c r="H296" s="1775" t="s">
        <v>28</v>
      </c>
      <c r="I296" s="1775" t="s">
        <v>866</v>
      </c>
    </row>
    <row r="297" spans="1:9" ht="11.25" customHeight="1">
      <c r="A297" s="1775" t="s">
        <v>2259</v>
      </c>
      <c r="B297" s="1775" t="s">
        <v>16</v>
      </c>
      <c r="C297" s="1775" t="s">
        <v>2938</v>
      </c>
      <c r="D297" s="1775" t="s">
        <v>2939</v>
      </c>
      <c r="E297" s="1775" t="s">
        <v>2940</v>
      </c>
      <c r="F297" s="1775" t="s">
        <v>2347</v>
      </c>
      <c r="G297" s="1775" t="s">
        <v>28</v>
      </c>
      <c r="H297" s="1775" t="s">
        <v>28</v>
      </c>
      <c r="I297" s="1775" t="s">
        <v>866</v>
      </c>
    </row>
    <row r="298" spans="1:9" ht="11.25" customHeight="1">
      <c r="A298" s="1775" t="s">
        <v>2259</v>
      </c>
      <c r="B298" s="1775" t="s">
        <v>16</v>
      </c>
      <c r="C298" s="1775" t="s">
        <v>2941</v>
      </c>
      <c r="D298" s="1775" t="s">
        <v>2939</v>
      </c>
      <c r="E298" s="1775" t="s">
        <v>2942</v>
      </c>
      <c r="F298" s="1775" t="s">
        <v>2760</v>
      </c>
      <c r="G298" s="1775" t="s">
        <v>28</v>
      </c>
      <c r="H298" s="1775" t="s">
        <v>28</v>
      </c>
      <c r="I298" s="1775" t="s">
        <v>866</v>
      </c>
    </row>
    <row r="299" spans="1:9" ht="11.25" customHeight="1">
      <c r="A299" s="1775" t="s">
        <v>2259</v>
      </c>
      <c r="B299" s="1775" t="s">
        <v>16</v>
      </c>
      <c r="C299" s="1775" t="s">
        <v>2943</v>
      </c>
      <c r="D299" s="1775" t="s">
        <v>2939</v>
      </c>
      <c r="E299" s="1775" t="s">
        <v>2944</v>
      </c>
      <c r="F299" s="1775" t="s">
        <v>2375</v>
      </c>
      <c r="G299" s="1775" t="s">
        <v>28</v>
      </c>
      <c r="H299" s="1775" t="s">
        <v>28</v>
      </c>
      <c r="I299" s="1775" t="s">
        <v>866</v>
      </c>
    </row>
    <row r="300" spans="1:9" ht="11.25" customHeight="1">
      <c r="A300" s="1775" t="s">
        <v>2259</v>
      </c>
      <c r="B300" s="1775" t="s">
        <v>16</v>
      </c>
      <c r="C300" s="1775" t="s">
        <v>2945</v>
      </c>
      <c r="D300" s="1775" t="s">
        <v>2946</v>
      </c>
      <c r="E300" s="1775" t="s">
        <v>2947</v>
      </c>
      <c r="F300" s="1775" t="s">
        <v>2351</v>
      </c>
      <c r="G300" s="1775" t="s">
        <v>28</v>
      </c>
      <c r="H300" s="1775" t="s">
        <v>28</v>
      </c>
      <c r="I300" s="1775" t="s">
        <v>866</v>
      </c>
    </row>
    <row r="301" spans="1:9" ht="11.25" customHeight="1">
      <c r="A301" s="1775" t="s">
        <v>2259</v>
      </c>
      <c r="B301" s="1775" t="s">
        <v>16</v>
      </c>
      <c r="C301" s="1775" t="s">
        <v>2948</v>
      </c>
      <c r="D301" s="1775" t="s">
        <v>2949</v>
      </c>
      <c r="E301" s="1775" t="s">
        <v>2950</v>
      </c>
      <c r="F301" s="1775" t="s">
        <v>2296</v>
      </c>
      <c r="G301" s="1775" t="s">
        <v>28</v>
      </c>
      <c r="H301" s="1775" t="s">
        <v>28</v>
      </c>
      <c r="I301" s="1775" t="s">
        <v>866</v>
      </c>
    </row>
    <row r="302" spans="1:9" ht="11.25" customHeight="1">
      <c r="A302" s="1775" t="s">
        <v>2259</v>
      </c>
      <c r="B302" s="1775" t="s">
        <v>16</v>
      </c>
      <c r="C302" s="1775" t="s">
        <v>2951</v>
      </c>
      <c r="D302" s="1775" t="s">
        <v>2952</v>
      </c>
      <c r="E302" s="1775" t="s">
        <v>2953</v>
      </c>
      <c r="F302" s="1775" t="s">
        <v>2450</v>
      </c>
      <c r="G302" s="1775" t="s">
        <v>28</v>
      </c>
      <c r="H302" s="1775" t="s">
        <v>28</v>
      </c>
      <c r="I302" s="1775" t="s">
        <v>866</v>
      </c>
    </row>
    <row r="303" spans="1:9" ht="11.25" customHeight="1">
      <c r="A303" s="1775" t="s">
        <v>2259</v>
      </c>
      <c r="B303" s="1775" t="s">
        <v>16</v>
      </c>
      <c r="C303" s="1775" t="s">
        <v>2954</v>
      </c>
      <c r="D303" s="1775" t="s">
        <v>2955</v>
      </c>
      <c r="E303" s="1775" t="s">
        <v>2956</v>
      </c>
      <c r="F303" s="1775" t="s">
        <v>2556</v>
      </c>
      <c r="G303" s="1775" t="s">
        <v>28</v>
      </c>
      <c r="H303" s="1775" t="s">
        <v>28</v>
      </c>
      <c r="I303" s="1775" t="s">
        <v>866</v>
      </c>
    </row>
    <row r="304" spans="1:9" ht="11.25" customHeight="1">
      <c r="A304" s="1775" t="s">
        <v>2259</v>
      </c>
      <c r="B304" s="1775" t="s">
        <v>16</v>
      </c>
      <c r="C304" s="1775" t="s">
        <v>2957</v>
      </c>
      <c r="D304" s="1775" t="s">
        <v>2958</v>
      </c>
      <c r="E304" s="1775" t="s">
        <v>2959</v>
      </c>
      <c r="F304" s="1775" t="s">
        <v>2720</v>
      </c>
      <c r="G304" s="1775" t="s">
        <v>28</v>
      </c>
      <c r="H304" s="1775" t="s">
        <v>28</v>
      </c>
      <c r="I304" s="1775" t="s">
        <v>866</v>
      </c>
    </row>
    <row r="305" spans="1:9" ht="11.25" customHeight="1">
      <c r="A305" s="1775" t="s">
        <v>2259</v>
      </c>
      <c r="B305" s="1775" t="s">
        <v>16</v>
      </c>
      <c r="C305" s="1775" t="s">
        <v>2960</v>
      </c>
      <c r="D305" s="1775" t="s">
        <v>2961</v>
      </c>
      <c r="E305" s="1775" t="s">
        <v>2962</v>
      </c>
      <c r="F305" s="1775" t="s">
        <v>2450</v>
      </c>
      <c r="G305" s="1775" t="s">
        <v>28</v>
      </c>
      <c r="H305" s="1775" t="s">
        <v>28</v>
      </c>
      <c r="I305" s="1775" t="s">
        <v>866</v>
      </c>
    </row>
    <row r="306" spans="1:9" ht="11.25" customHeight="1">
      <c r="A306" s="1775" t="s">
        <v>2259</v>
      </c>
      <c r="B306" s="1775" t="s">
        <v>16</v>
      </c>
      <c r="C306" s="1775" t="s">
        <v>2515</v>
      </c>
      <c r="D306" s="1775" t="s">
        <v>2516</v>
      </c>
      <c r="E306" s="1775" t="s">
        <v>2517</v>
      </c>
      <c r="F306" s="1775" t="s">
        <v>2340</v>
      </c>
      <c r="G306" s="1775" t="s">
        <v>28</v>
      </c>
      <c r="H306" s="1775" t="s">
        <v>28</v>
      </c>
      <c r="I306" s="1775" t="s">
        <v>866</v>
      </c>
    </row>
    <row r="307" spans="1:9" ht="11.25" customHeight="1">
      <c r="A307" s="1775" t="s">
        <v>2259</v>
      </c>
      <c r="B307" s="1775" t="s">
        <v>16</v>
      </c>
      <c r="C307" s="1775" t="s">
        <v>2963</v>
      </c>
      <c r="D307" s="1775" t="s">
        <v>2964</v>
      </c>
      <c r="E307" s="1775" t="s">
        <v>2965</v>
      </c>
      <c r="F307" s="1775" t="s">
        <v>2412</v>
      </c>
      <c r="G307" s="1775" t="s">
        <v>28</v>
      </c>
      <c r="H307" s="1775" t="s">
        <v>28</v>
      </c>
      <c r="I307" s="1775" t="s">
        <v>866</v>
      </c>
    </row>
    <row r="308" spans="1:9" ht="11.25" customHeight="1">
      <c r="A308" s="1775" t="s">
        <v>2259</v>
      </c>
      <c r="B308" s="1775" t="s">
        <v>16</v>
      </c>
      <c r="C308" s="1775" t="s">
        <v>2966</v>
      </c>
      <c r="D308" s="1775" t="s">
        <v>2967</v>
      </c>
      <c r="E308" s="1775" t="s">
        <v>2968</v>
      </c>
      <c r="F308" s="1775" t="s">
        <v>2375</v>
      </c>
      <c r="G308" s="1775" t="s">
        <v>28</v>
      </c>
      <c r="H308" s="1775" t="s">
        <v>2969</v>
      </c>
      <c r="I308" s="1775" t="s">
        <v>866</v>
      </c>
    </row>
    <row r="309" spans="1:9" ht="11.25" customHeight="1">
      <c r="A309" s="1775" t="s">
        <v>2259</v>
      </c>
      <c r="B309" s="1775" t="s">
        <v>16</v>
      </c>
      <c r="C309" s="1775" t="s">
        <v>2970</v>
      </c>
      <c r="D309" s="1775" t="s">
        <v>2971</v>
      </c>
      <c r="E309" s="1775" t="s">
        <v>2972</v>
      </c>
      <c r="F309" s="1775" t="s">
        <v>2421</v>
      </c>
      <c r="G309" s="1775" t="s">
        <v>28</v>
      </c>
      <c r="H309" s="1775" t="s">
        <v>28</v>
      </c>
      <c r="I309" s="1775" t="s">
        <v>866</v>
      </c>
    </row>
    <row r="310" spans="1:9" ht="11.25" customHeight="1">
      <c r="A310" s="1775" t="s">
        <v>2259</v>
      </c>
      <c r="B310" s="1775" t="s">
        <v>16</v>
      </c>
      <c r="C310" s="1775" t="s">
        <v>2973</v>
      </c>
      <c r="D310" s="1775" t="s">
        <v>2974</v>
      </c>
      <c r="E310" s="1775" t="s">
        <v>2975</v>
      </c>
      <c r="F310" s="1775" t="s">
        <v>2308</v>
      </c>
      <c r="G310" s="1775" t="s">
        <v>28</v>
      </c>
      <c r="H310" s="1775" t="s">
        <v>2976</v>
      </c>
      <c r="I310" s="1775" t="s">
        <v>866</v>
      </c>
    </row>
    <row r="311" spans="1:9" ht="11.25" customHeight="1">
      <c r="A311" s="1775" t="s">
        <v>2259</v>
      </c>
      <c r="B311" s="1775" t="s">
        <v>16</v>
      </c>
      <c r="C311" s="1775" t="s">
        <v>2521</v>
      </c>
      <c r="D311" s="1775" t="s">
        <v>2522</v>
      </c>
      <c r="E311" s="1775" t="s">
        <v>2523</v>
      </c>
      <c r="F311" s="1775" t="s">
        <v>2347</v>
      </c>
      <c r="G311" s="1775" t="s">
        <v>28</v>
      </c>
      <c r="H311" s="1775" t="s">
        <v>28</v>
      </c>
      <c r="I311" s="1775" t="s">
        <v>866</v>
      </c>
    </row>
    <row r="312" spans="1:9" ht="11.25" customHeight="1">
      <c r="A312" s="1775" t="s">
        <v>2259</v>
      </c>
      <c r="B312" s="1775" t="s">
        <v>16</v>
      </c>
      <c r="C312" s="1775" t="s">
        <v>2977</v>
      </c>
      <c r="D312" s="1775" t="s">
        <v>2978</v>
      </c>
      <c r="E312" s="1775" t="s">
        <v>2979</v>
      </c>
      <c r="F312" s="1775" t="s">
        <v>2720</v>
      </c>
      <c r="G312" s="1775" t="s">
        <v>28</v>
      </c>
      <c r="H312" s="1775" t="s">
        <v>28</v>
      </c>
      <c r="I312" s="1775" t="s">
        <v>866</v>
      </c>
    </row>
    <row r="313" spans="1:9" ht="11.25" customHeight="1">
      <c r="A313" s="1775" t="s">
        <v>2259</v>
      </c>
      <c r="B313" s="1775" t="s">
        <v>16</v>
      </c>
      <c r="C313" s="1775" t="s">
        <v>2980</v>
      </c>
      <c r="D313" s="1775" t="s">
        <v>2981</v>
      </c>
      <c r="E313" s="1775" t="s">
        <v>2982</v>
      </c>
      <c r="F313" s="1775" t="s">
        <v>51</v>
      </c>
      <c r="G313" s="1775" t="s">
        <v>28</v>
      </c>
      <c r="H313" s="1775" t="s">
        <v>28</v>
      </c>
      <c r="I313" s="1775" t="s">
        <v>866</v>
      </c>
    </row>
    <row r="314" spans="1:9" ht="11.25" customHeight="1">
      <c r="A314" s="1775" t="s">
        <v>2259</v>
      </c>
      <c r="B314" s="1775" t="s">
        <v>16</v>
      </c>
      <c r="C314" s="1775" t="s">
        <v>2983</v>
      </c>
      <c r="D314" s="1775" t="s">
        <v>2984</v>
      </c>
      <c r="E314" s="1775" t="s">
        <v>2985</v>
      </c>
      <c r="F314" s="1775" t="s">
        <v>2357</v>
      </c>
      <c r="G314" s="1775" t="s">
        <v>28</v>
      </c>
      <c r="H314" s="1775" t="s">
        <v>28</v>
      </c>
      <c r="I314" s="1775" t="s">
        <v>866</v>
      </c>
    </row>
    <row r="315" spans="1:9" ht="11.25" customHeight="1">
      <c r="A315" s="1775" t="s">
        <v>2259</v>
      </c>
      <c r="B315" s="1775" t="s">
        <v>16</v>
      </c>
      <c r="C315" s="1775" t="s">
        <v>2986</v>
      </c>
      <c r="D315" s="1775" t="s">
        <v>2987</v>
      </c>
      <c r="E315" s="1775" t="s">
        <v>2988</v>
      </c>
      <c r="F315" s="1775" t="s">
        <v>2831</v>
      </c>
      <c r="G315" s="1775" t="s">
        <v>28</v>
      </c>
      <c r="H315" s="1775" t="s">
        <v>28</v>
      </c>
      <c r="I315" s="1775" t="s">
        <v>866</v>
      </c>
    </row>
    <row r="316" spans="1:9" ht="11.25" customHeight="1">
      <c r="A316" s="1775" t="s">
        <v>2259</v>
      </c>
      <c r="B316" s="1775" t="s">
        <v>16</v>
      </c>
      <c r="C316" s="1775" t="s">
        <v>2989</v>
      </c>
      <c r="D316" s="1775" t="s">
        <v>2990</v>
      </c>
      <c r="E316" s="1775" t="s">
        <v>2991</v>
      </c>
      <c r="F316" s="1775" t="s">
        <v>2450</v>
      </c>
      <c r="G316" s="1775" t="s">
        <v>28</v>
      </c>
      <c r="H316" s="1775" t="s">
        <v>28</v>
      </c>
      <c r="I316" s="1775" t="s">
        <v>866</v>
      </c>
    </row>
    <row r="317" spans="1:9" ht="11.25" customHeight="1">
      <c r="A317" s="1775" t="s">
        <v>2259</v>
      </c>
      <c r="B317" s="1775" t="s">
        <v>16</v>
      </c>
      <c r="C317" s="1775" t="s">
        <v>2992</v>
      </c>
      <c r="D317" s="1775" t="s">
        <v>2990</v>
      </c>
      <c r="E317" s="1775" t="s">
        <v>2993</v>
      </c>
      <c r="F317" s="1775" t="s">
        <v>2556</v>
      </c>
      <c r="G317" s="1775" t="s">
        <v>28</v>
      </c>
      <c r="H317" s="1775" t="s">
        <v>28</v>
      </c>
      <c r="I317" s="1775" t="s">
        <v>866</v>
      </c>
    </row>
    <row r="318" spans="1:9" ht="11.25" customHeight="1">
      <c r="A318" s="1775" t="s">
        <v>2259</v>
      </c>
      <c r="B318" s="1775" t="s">
        <v>16</v>
      </c>
      <c r="C318" s="1775" t="s">
        <v>2994</v>
      </c>
      <c r="D318" s="1775" t="s">
        <v>2995</v>
      </c>
      <c r="E318" s="1775" t="s">
        <v>2996</v>
      </c>
      <c r="F318" s="1775" t="s">
        <v>2412</v>
      </c>
      <c r="G318" s="1775" t="s">
        <v>28</v>
      </c>
      <c r="H318" s="1775" t="s">
        <v>28</v>
      </c>
      <c r="I318" s="1775" t="s">
        <v>866</v>
      </c>
    </row>
    <row r="319" spans="1:9" ht="11.25" customHeight="1">
      <c r="A319" s="1775" t="s">
        <v>2259</v>
      </c>
      <c r="B319" s="1775" t="s">
        <v>16</v>
      </c>
      <c r="C319" s="1775" t="s">
        <v>2997</v>
      </c>
      <c r="D319" s="1775" t="s">
        <v>2998</v>
      </c>
      <c r="E319" s="1775" t="s">
        <v>2999</v>
      </c>
      <c r="F319" s="1775" t="s">
        <v>2270</v>
      </c>
      <c r="G319" s="1775" t="s">
        <v>28</v>
      </c>
      <c r="H319" s="1775" t="s">
        <v>28</v>
      </c>
      <c r="I319" s="1775" t="s">
        <v>866</v>
      </c>
    </row>
    <row r="320" spans="1:9" ht="11.25" customHeight="1">
      <c r="A320" s="1775" t="s">
        <v>2259</v>
      </c>
      <c r="B320" s="1775" t="s">
        <v>16</v>
      </c>
      <c r="C320" s="1775" t="s">
        <v>2543</v>
      </c>
      <c r="D320" s="1775" t="s">
        <v>2544</v>
      </c>
      <c r="E320" s="1775" t="s">
        <v>2545</v>
      </c>
      <c r="F320" s="1775" t="s">
        <v>2546</v>
      </c>
      <c r="G320" s="1775" t="s">
        <v>28</v>
      </c>
      <c r="H320" s="1775" t="s">
        <v>28</v>
      </c>
      <c r="I320" s="1775" t="s">
        <v>866</v>
      </c>
    </row>
    <row r="321" spans="1:9" ht="11.25" customHeight="1">
      <c r="A321" s="1775" t="s">
        <v>2259</v>
      </c>
      <c r="B321" s="1775" t="s">
        <v>16</v>
      </c>
      <c r="C321" s="1775" t="s">
        <v>3000</v>
      </c>
      <c r="D321" s="1775" t="s">
        <v>3001</v>
      </c>
      <c r="E321" s="1775" t="s">
        <v>3002</v>
      </c>
      <c r="F321" s="1775" t="s">
        <v>2412</v>
      </c>
      <c r="G321" s="1775" t="s">
        <v>28</v>
      </c>
      <c r="H321" s="1775" t="s">
        <v>28</v>
      </c>
      <c r="I321" s="1775" t="s">
        <v>866</v>
      </c>
    </row>
    <row r="322" spans="1:9" ht="11.25" customHeight="1">
      <c r="A322" s="1775" t="s">
        <v>2259</v>
      </c>
      <c r="B322" s="1775" t="s">
        <v>16</v>
      </c>
      <c r="C322" s="1775" t="s">
        <v>3003</v>
      </c>
      <c r="D322" s="1775" t="s">
        <v>3004</v>
      </c>
      <c r="E322" s="1775" t="s">
        <v>3005</v>
      </c>
      <c r="F322" s="1775" t="s">
        <v>2357</v>
      </c>
      <c r="G322" s="1775" t="s">
        <v>28</v>
      </c>
      <c r="H322" s="1775" t="s">
        <v>28</v>
      </c>
      <c r="I322" s="1775" t="s">
        <v>866</v>
      </c>
    </row>
    <row r="323" spans="1:9" ht="11.25" customHeight="1">
      <c r="A323" s="1775" t="s">
        <v>2259</v>
      </c>
      <c r="B323" s="1775" t="s">
        <v>16</v>
      </c>
      <c r="C323" s="1775" t="s">
        <v>2547</v>
      </c>
      <c r="D323" s="1775" t="s">
        <v>2548</v>
      </c>
      <c r="E323" s="1775" t="s">
        <v>2549</v>
      </c>
      <c r="F323" s="1775" t="s">
        <v>2384</v>
      </c>
      <c r="G323" s="1775" t="s">
        <v>28</v>
      </c>
      <c r="H323" s="1775" t="s">
        <v>28</v>
      </c>
      <c r="I323" s="1775" t="s">
        <v>866</v>
      </c>
    </row>
    <row r="324" spans="1:9" ht="11.25" customHeight="1">
      <c r="A324" s="1775" t="s">
        <v>2259</v>
      </c>
      <c r="B324" s="1775" t="s">
        <v>16</v>
      </c>
      <c r="C324" s="1775" t="s">
        <v>3006</v>
      </c>
      <c r="D324" s="1775" t="s">
        <v>3007</v>
      </c>
      <c r="E324" s="1775" t="s">
        <v>3008</v>
      </c>
      <c r="F324" s="1775" t="s">
        <v>2375</v>
      </c>
      <c r="G324" s="1775" t="s">
        <v>3009</v>
      </c>
      <c r="H324" s="1775" t="s">
        <v>28</v>
      </c>
      <c r="I324" s="1775" t="s">
        <v>866</v>
      </c>
    </row>
    <row r="325" spans="1:9" ht="11.25" customHeight="1">
      <c r="A325" s="1775" t="s">
        <v>2259</v>
      </c>
      <c r="B325" s="1775" t="s">
        <v>16</v>
      </c>
      <c r="C325" s="1775" t="s">
        <v>3010</v>
      </c>
      <c r="D325" s="1775" t="s">
        <v>3011</v>
      </c>
      <c r="E325" s="1775" t="s">
        <v>3012</v>
      </c>
      <c r="F325" s="1775" t="s">
        <v>2375</v>
      </c>
      <c r="G325" s="1775" t="s">
        <v>28</v>
      </c>
      <c r="H325" s="1775" t="s">
        <v>28</v>
      </c>
      <c r="I325" s="1775" t="s">
        <v>866</v>
      </c>
    </row>
    <row r="326" spans="1:9" ht="11.25" customHeight="1">
      <c r="A326" s="1775" t="s">
        <v>2259</v>
      </c>
      <c r="B326" s="1775" t="s">
        <v>16</v>
      </c>
      <c r="C326" s="1775" t="s">
        <v>2550</v>
      </c>
      <c r="D326" s="1775" t="s">
        <v>2551</v>
      </c>
      <c r="E326" s="1775" t="s">
        <v>2552</v>
      </c>
      <c r="F326" s="1775" t="s">
        <v>2375</v>
      </c>
      <c r="G326" s="1775" t="s">
        <v>28</v>
      </c>
      <c r="H326" s="1775" t="s">
        <v>28</v>
      </c>
      <c r="I326" s="1775" t="s">
        <v>866</v>
      </c>
    </row>
    <row r="327" spans="1:9" ht="11.25" customHeight="1">
      <c r="A327" s="1775" t="s">
        <v>2259</v>
      </c>
      <c r="B327" s="1775" t="s">
        <v>16</v>
      </c>
      <c r="C327" s="1775" t="s">
        <v>3013</v>
      </c>
      <c r="D327" s="1775" t="s">
        <v>3014</v>
      </c>
      <c r="E327" s="1775" t="s">
        <v>3015</v>
      </c>
      <c r="F327" s="1775" t="s">
        <v>2351</v>
      </c>
      <c r="G327" s="1775" t="s">
        <v>28</v>
      </c>
      <c r="H327" s="1775" t="s">
        <v>28</v>
      </c>
      <c r="I327" s="1775" t="s">
        <v>866</v>
      </c>
    </row>
    <row r="328" spans="1:9" ht="11.25" customHeight="1">
      <c r="A328" s="1775" t="s">
        <v>2259</v>
      </c>
      <c r="B328" s="1775" t="s">
        <v>16</v>
      </c>
      <c r="C328" s="1775" t="s">
        <v>3016</v>
      </c>
      <c r="D328" s="1775" t="s">
        <v>3017</v>
      </c>
      <c r="E328" s="1775" t="s">
        <v>3018</v>
      </c>
      <c r="F328" s="1775" t="s">
        <v>2357</v>
      </c>
      <c r="G328" s="1775" t="s">
        <v>28</v>
      </c>
      <c r="H328" s="1775" t="s">
        <v>28</v>
      </c>
      <c r="I328" s="1775" t="s">
        <v>866</v>
      </c>
    </row>
    <row r="329" spans="1:9" ht="11.25" customHeight="1">
      <c r="A329" s="1775" t="s">
        <v>2259</v>
      </c>
      <c r="B329" s="1775" t="s">
        <v>16</v>
      </c>
      <c r="C329" s="1775" t="s">
        <v>3019</v>
      </c>
      <c r="D329" s="1775" t="s">
        <v>3020</v>
      </c>
      <c r="E329" s="1775" t="s">
        <v>3021</v>
      </c>
      <c r="F329" s="1775" t="s">
        <v>3022</v>
      </c>
      <c r="G329" s="1775" t="s">
        <v>28</v>
      </c>
      <c r="H329" s="1775" t="s">
        <v>28</v>
      </c>
      <c r="I329" s="1775" t="s">
        <v>866</v>
      </c>
    </row>
    <row r="330" spans="1:9" ht="11.25" customHeight="1">
      <c r="A330" s="1775" t="s">
        <v>2259</v>
      </c>
      <c r="B330" s="1775" t="s">
        <v>16</v>
      </c>
      <c r="C330" s="1775" t="s">
        <v>2604</v>
      </c>
      <c r="D330" s="1775" t="s">
        <v>2605</v>
      </c>
      <c r="E330" s="1775" t="s">
        <v>2606</v>
      </c>
      <c r="F330" s="1775" t="s">
        <v>2357</v>
      </c>
      <c r="G330" s="1775" t="s">
        <v>28</v>
      </c>
      <c r="H330" s="1775" t="s">
        <v>28</v>
      </c>
      <c r="I330" s="1775" t="s">
        <v>866</v>
      </c>
    </row>
    <row r="331" spans="1:9" ht="11.25" customHeight="1">
      <c r="A331" s="1775" t="s">
        <v>2259</v>
      </c>
      <c r="B331" s="1775" t="s">
        <v>16</v>
      </c>
      <c r="C331" s="1775" t="s">
        <v>13</v>
      </c>
      <c r="D331" s="1775" t="s">
        <v>46</v>
      </c>
      <c r="E331" s="1775" t="s">
        <v>49</v>
      </c>
      <c r="F331" s="1775" t="s">
        <v>51</v>
      </c>
      <c r="G331" s="1775" t="s">
        <v>28</v>
      </c>
      <c r="H331" s="1775" t="s">
        <v>28</v>
      </c>
      <c r="I331" s="1775" t="s">
        <v>866</v>
      </c>
    </row>
    <row r="332" spans="1:9" ht="11.25" customHeight="1">
      <c r="A332" s="1775" t="s">
        <v>2259</v>
      </c>
      <c r="B332" s="1775" t="s">
        <v>16</v>
      </c>
      <c r="C332" s="1775" t="s">
        <v>3023</v>
      </c>
      <c r="D332" s="1775" t="s">
        <v>3024</v>
      </c>
      <c r="E332" s="1775" t="s">
        <v>3025</v>
      </c>
      <c r="F332" s="1775" t="s">
        <v>2270</v>
      </c>
      <c r="G332" s="1775" t="s">
        <v>3026</v>
      </c>
      <c r="H332" s="1775" t="s">
        <v>28</v>
      </c>
      <c r="I332" s="1775" t="s">
        <v>866</v>
      </c>
    </row>
    <row r="333" spans="1:9" ht="11.25" customHeight="1">
      <c r="A333" s="1775" t="s">
        <v>2259</v>
      </c>
      <c r="B333" s="1775" t="s">
        <v>16</v>
      </c>
      <c r="C333" s="1775" t="s">
        <v>2610</v>
      </c>
      <c r="D333" s="1775" t="s">
        <v>2611</v>
      </c>
      <c r="E333" s="1775" t="s">
        <v>2612</v>
      </c>
      <c r="F333" s="1775" t="s">
        <v>2281</v>
      </c>
      <c r="G333" s="1775" t="s">
        <v>28</v>
      </c>
      <c r="H333" s="1775" t="s">
        <v>28</v>
      </c>
      <c r="I333" s="1775" t="s">
        <v>866</v>
      </c>
    </row>
    <row r="334" spans="1:9" ht="11.25" customHeight="1">
      <c r="A334" s="1775" t="s">
        <v>2259</v>
      </c>
      <c r="B334" s="1775" t="s">
        <v>16</v>
      </c>
      <c r="C334" s="1775" t="s">
        <v>2613</v>
      </c>
      <c r="D334" s="1775" t="s">
        <v>2614</v>
      </c>
      <c r="E334" s="1775" t="s">
        <v>2615</v>
      </c>
      <c r="F334" s="1775" t="s">
        <v>2364</v>
      </c>
      <c r="G334" s="1775" t="s">
        <v>28</v>
      </c>
      <c r="H334" s="1775" t="s">
        <v>28</v>
      </c>
      <c r="I334" s="1775" t="s">
        <v>866</v>
      </c>
    </row>
    <row r="335" spans="1:9" ht="11.25" customHeight="1">
      <c r="A335" s="1775" t="s">
        <v>2259</v>
      </c>
      <c r="B335" s="1775" t="s">
        <v>16</v>
      </c>
      <c r="C335" s="1775" t="s">
        <v>3027</v>
      </c>
      <c r="D335" s="1775" t="s">
        <v>3028</v>
      </c>
      <c r="E335" s="1775" t="s">
        <v>3029</v>
      </c>
      <c r="F335" s="1775" t="s">
        <v>2351</v>
      </c>
      <c r="G335" s="1775" t="s">
        <v>28</v>
      </c>
      <c r="H335" s="1775" t="s">
        <v>28</v>
      </c>
      <c r="I335" s="1775" t="s">
        <v>866</v>
      </c>
    </row>
    <row r="336" spans="1:9" ht="11.25" customHeight="1">
      <c r="A336" s="1775" t="s">
        <v>2259</v>
      </c>
      <c r="B336" s="1775" t="s">
        <v>16</v>
      </c>
      <c r="C336" s="1775" t="s">
        <v>3030</v>
      </c>
      <c r="D336" s="1775" t="s">
        <v>3031</v>
      </c>
      <c r="E336" s="1775" t="s">
        <v>2316</v>
      </c>
      <c r="F336" s="1775" t="s">
        <v>3032</v>
      </c>
      <c r="G336" s="1775" t="s">
        <v>28</v>
      </c>
      <c r="H336" s="1775" t="s">
        <v>28</v>
      </c>
      <c r="I336" s="1775" t="s">
        <v>866</v>
      </c>
    </row>
    <row r="337" spans="1:9" ht="11.25" customHeight="1">
      <c r="A337" s="1775" t="s">
        <v>2259</v>
      </c>
      <c r="B337" s="1775" t="s">
        <v>16</v>
      </c>
      <c r="C337" s="1775" t="s">
        <v>3033</v>
      </c>
      <c r="D337" s="1775" t="s">
        <v>3034</v>
      </c>
      <c r="E337" s="1775" t="s">
        <v>3035</v>
      </c>
      <c r="F337" s="1775" t="s">
        <v>2556</v>
      </c>
      <c r="G337" s="1775" t="s">
        <v>28</v>
      </c>
      <c r="H337" s="1775" t="s">
        <v>28</v>
      </c>
      <c r="I337" s="1775" t="s">
        <v>866</v>
      </c>
    </row>
    <row r="338" spans="1:9" ht="11.25" customHeight="1">
      <c r="A338" s="1775" t="s">
        <v>2259</v>
      </c>
      <c r="B338" s="1775" t="s">
        <v>16</v>
      </c>
      <c r="C338" s="1775" t="s">
        <v>3036</v>
      </c>
      <c r="D338" s="1775" t="s">
        <v>3037</v>
      </c>
      <c r="E338" s="1775" t="s">
        <v>3038</v>
      </c>
      <c r="F338" s="1775" t="s">
        <v>3039</v>
      </c>
      <c r="G338" s="1775" t="s">
        <v>28</v>
      </c>
      <c r="H338" s="1775" t="s">
        <v>2969</v>
      </c>
      <c r="I338" s="1775" t="s">
        <v>866</v>
      </c>
    </row>
    <row r="339" spans="1:9" ht="11.25" customHeight="1">
      <c r="A339" s="1775" t="s">
        <v>2259</v>
      </c>
      <c r="B339" s="1775" t="s">
        <v>16</v>
      </c>
      <c r="C339" s="1775" t="s">
        <v>3040</v>
      </c>
      <c r="D339" s="1775" t="s">
        <v>3041</v>
      </c>
      <c r="E339" s="1775" t="s">
        <v>3042</v>
      </c>
      <c r="F339" s="1775" t="s">
        <v>2760</v>
      </c>
      <c r="G339" s="1775" t="s">
        <v>28</v>
      </c>
      <c r="H339" s="1775" t="s">
        <v>28</v>
      </c>
      <c r="I339" s="1775" t="s">
        <v>866</v>
      </c>
    </row>
    <row r="340" spans="1:9" ht="11.25" customHeight="1">
      <c r="A340" s="1775" t="s">
        <v>2259</v>
      </c>
      <c r="B340" s="1775" t="s">
        <v>16</v>
      </c>
      <c r="C340" s="1775" t="s">
        <v>3043</v>
      </c>
      <c r="D340" s="1775" t="s">
        <v>3044</v>
      </c>
      <c r="E340" s="1775" t="s">
        <v>3045</v>
      </c>
      <c r="F340" s="1775" t="s">
        <v>2357</v>
      </c>
      <c r="G340" s="1775" t="s">
        <v>28</v>
      </c>
      <c r="H340" s="1775" t="s">
        <v>28</v>
      </c>
      <c r="I340" s="1775" t="s">
        <v>866</v>
      </c>
    </row>
    <row r="341" spans="1:9" ht="11.25" customHeight="1">
      <c r="A341" s="1775" t="s">
        <v>2259</v>
      </c>
      <c r="B341" s="1775" t="s">
        <v>16</v>
      </c>
      <c r="C341" s="1775" t="s">
        <v>3046</v>
      </c>
      <c r="D341" s="1775" t="s">
        <v>3047</v>
      </c>
      <c r="E341" s="1775" t="s">
        <v>3048</v>
      </c>
      <c r="F341" s="1775" t="s">
        <v>2831</v>
      </c>
      <c r="G341" s="1775" t="s">
        <v>28</v>
      </c>
      <c r="H341" s="1775" t="s">
        <v>28</v>
      </c>
      <c r="I341" s="1775" t="s">
        <v>866</v>
      </c>
    </row>
    <row r="342" spans="1:9" ht="11.25" customHeight="1">
      <c r="A342" s="1775" t="s">
        <v>2259</v>
      </c>
      <c r="B342" s="1775" t="s">
        <v>16</v>
      </c>
      <c r="C342" s="1775" t="s">
        <v>3049</v>
      </c>
      <c r="D342" s="1775" t="s">
        <v>3050</v>
      </c>
      <c r="E342" s="1775" t="s">
        <v>3051</v>
      </c>
      <c r="F342" s="1775" t="s">
        <v>2556</v>
      </c>
      <c r="G342" s="1775" t="s">
        <v>28</v>
      </c>
      <c r="H342" s="1775" t="s">
        <v>28</v>
      </c>
      <c r="I342" s="1775" t="s">
        <v>866</v>
      </c>
    </row>
    <row r="343" spans="1:9" ht="11.25" customHeight="1">
      <c r="A343" s="1775" t="s">
        <v>2259</v>
      </c>
      <c r="B343" s="1775" t="s">
        <v>16</v>
      </c>
      <c r="C343" s="1775" t="s">
        <v>3052</v>
      </c>
      <c r="D343" s="1775" t="s">
        <v>3053</v>
      </c>
      <c r="E343" s="1775" t="s">
        <v>3054</v>
      </c>
      <c r="F343" s="1775" t="s">
        <v>2450</v>
      </c>
      <c r="G343" s="1775" t="s">
        <v>28</v>
      </c>
      <c r="H343" s="1775" t="s">
        <v>28</v>
      </c>
      <c r="I343" s="1775" t="s">
        <v>866</v>
      </c>
    </row>
    <row r="344" spans="1:9" ht="11.25" customHeight="1">
      <c r="A344" s="1775" t="s">
        <v>2259</v>
      </c>
      <c r="B344" s="1775" t="s">
        <v>16</v>
      </c>
      <c r="C344" s="1775" t="s">
        <v>3055</v>
      </c>
      <c r="D344" s="1775" t="s">
        <v>3056</v>
      </c>
      <c r="E344" s="1775" t="s">
        <v>3057</v>
      </c>
      <c r="F344" s="1775" t="s">
        <v>2450</v>
      </c>
      <c r="G344" s="1775" t="s">
        <v>28</v>
      </c>
      <c r="H344" s="1775" t="s">
        <v>28</v>
      </c>
      <c r="I344" s="1775" t="s">
        <v>866</v>
      </c>
    </row>
    <row r="345" spans="1:9" ht="11.25" customHeight="1">
      <c r="A345" s="1775" t="s">
        <v>2259</v>
      </c>
      <c r="B345" s="1775" t="s">
        <v>16</v>
      </c>
      <c r="C345" s="1775" t="s">
        <v>3058</v>
      </c>
      <c r="D345" s="1775" t="s">
        <v>3059</v>
      </c>
      <c r="E345" s="1775" t="s">
        <v>3060</v>
      </c>
      <c r="F345" s="1775" t="s">
        <v>2380</v>
      </c>
      <c r="G345" s="1775" t="s">
        <v>28</v>
      </c>
      <c r="H345" s="1775" t="s">
        <v>28</v>
      </c>
      <c r="I345" s="1775" t="s">
        <v>866</v>
      </c>
    </row>
    <row r="346" spans="1:9" ht="11.25" customHeight="1">
      <c r="A346" s="1775" t="s">
        <v>2259</v>
      </c>
      <c r="B346" s="1775" t="s">
        <v>16</v>
      </c>
      <c r="C346" s="1775" t="s">
        <v>3061</v>
      </c>
      <c r="D346" s="1775" t="s">
        <v>3062</v>
      </c>
      <c r="E346" s="1775" t="s">
        <v>3063</v>
      </c>
      <c r="F346" s="1775" t="s">
        <v>2888</v>
      </c>
      <c r="G346" s="1775" t="s">
        <v>28</v>
      </c>
      <c r="H346" s="1775" t="s">
        <v>28</v>
      </c>
      <c r="I346" s="1775" t="s">
        <v>866</v>
      </c>
    </row>
    <row r="347" spans="1:9" ht="11.25" customHeight="1">
      <c r="A347" s="1775" t="s">
        <v>2259</v>
      </c>
      <c r="B347" s="1775" t="s">
        <v>16</v>
      </c>
      <c r="C347" s="1775" t="s">
        <v>3064</v>
      </c>
      <c r="D347" s="1775" t="s">
        <v>3065</v>
      </c>
      <c r="E347" s="1775" t="s">
        <v>3066</v>
      </c>
      <c r="F347" s="1775" t="s">
        <v>2475</v>
      </c>
      <c r="G347" s="1775" t="s">
        <v>28</v>
      </c>
      <c r="H347" s="1775" t="s">
        <v>3067</v>
      </c>
      <c r="I347" s="1775" t="s">
        <v>866</v>
      </c>
    </row>
    <row r="348" spans="1:9" ht="11.25" customHeight="1">
      <c r="A348" s="1775" t="s">
        <v>2259</v>
      </c>
      <c r="B348" s="1775" t="s">
        <v>16</v>
      </c>
      <c r="C348" s="1775" t="s">
        <v>3068</v>
      </c>
      <c r="D348" s="1775" t="s">
        <v>3069</v>
      </c>
      <c r="E348" s="1775" t="s">
        <v>3070</v>
      </c>
      <c r="F348" s="1775" t="s">
        <v>2408</v>
      </c>
      <c r="G348" s="1775" t="s">
        <v>28</v>
      </c>
      <c r="H348" s="1775" t="s">
        <v>28</v>
      </c>
      <c r="I348" s="1775" t="s">
        <v>866</v>
      </c>
    </row>
    <row r="349" spans="1:9" ht="11.25" customHeight="1">
      <c r="A349" s="1775" t="s">
        <v>2259</v>
      </c>
      <c r="B349" s="1775" t="s">
        <v>16</v>
      </c>
      <c r="C349" s="1775" t="s">
        <v>3071</v>
      </c>
      <c r="D349" s="1775" t="s">
        <v>3072</v>
      </c>
      <c r="E349" s="1775" t="s">
        <v>3073</v>
      </c>
      <c r="F349" s="1775" t="s">
        <v>2412</v>
      </c>
      <c r="G349" s="1775" t="s">
        <v>28</v>
      </c>
      <c r="H349" s="1775" t="s">
        <v>28</v>
      </c>
      <c r="I349" s="1775" t="s">
        <v>866</v>
      </c>
    </row>
    <row r="350" spans="1:9" ht="11.25" customHeight="1">
      <c r="A350" s="1775" t="s">
        <v>2259</v>
      </c>
      <c r="B350" s="1775" t="s">
        <v>16</v>
      </c>
      <c r="C350" s="1775" t="s">
        <v>3074</v>
      </c>
      <c r="D350" s="1775" t="s">
        <v>3075</v>
      </c>
      <c r="E350" s="1775" t="s">
        <v>3076</v>
      </c>
      <c r="F350" s="1775" t="s">
        <v>2364</v>
      </c>
      <c r="G350" s="1775" t="s">
        <v>28</v>
      </c>
      <c r="H350" s="1775" t="s">
        <v>28</v>
      </c>
      <c r="I350" s="1775" t="s">
        <v>866</v>
      </c>
    </row>
    <row r="351" spans="1:9" ht="11.25" customHeight="1">
      <c r="A351" s="1775" t="s">
        <v>2259</v>
      </c>
      <c r="B351" s="1775" t="s">
        <v>16</v>
      </c>
      <c r="C351" s="1775" t="s">
        <v>3077</v>
      </c>
      <c r="D351" s="1775" t="s">
        <v>3078</v>
      </c>
      <c r="E351" s="1775" t="s">
        <v>3079</v>
      </c>
      <c r="F351" s="1775" t="s">
        <v>2888</v>
      </c>
      <c r="G351" s="1775" t="s">
        <v>28</v>
      </c>
      <c r="H351" s="1775" t="s">
        <v>28</v>
      </c>
      <c r="I351" s="1775" t="s">
        <v>866</v>
      </c>
    </row>
    <row r="352" spans="1:9" ht="11.25" customHeight="1">
      <c r="A352" s="1775" t="s">
        <v>2259</v>
      </c>
      <c r="B352" s="1775" t="s">
        <v>16</v>
      </c>
      <c r="C352" s="1775" t="s">
        <v>3080</v>
      </c>
      <c r="D352" s="1775" t="s">
        <v>3081</v>
      </c>
      <c r="E352" s="1775" t="s">
        <v>3082</v>
      </c>
      <c r="F352" s="1775" t="s">
        <v>2475</v>
      </c>
      <c r="G352" s="1775" t="s">
        <v>28</v>
      </c>
      <c r="H352" s="1775" t="s">
        <v>28</v>
      </c>
      <c r="I352" s="1775" t="s">
        <v>866</v>
      </c>
    </row>
    <row r="353" spans="1:9" ht="11.25" customHeight="1">
      <c r="A353" s="1775" t="s">
        <v>2259</v>
      </c>
      <c r="B353" s="1775" t="s">
        <v>16</v>
      </c>
      <c r="C353" s="1775" t="s">
        <v>3083</v>
      </c>
      <c r="D353" s="1775" t="s">
        <v>3084</v>
      </c>
      <c r="E353" s="1775" t="s">
        <v>3085</v>
      </c>
      <c r="F353" s="1775" t="s">
        <v>2450</v>
      </c>
      <c r="G353" s="1775" t="s">
        <v>28</v>
      </c>
      <c r="H353" s="1775" t="s">
        <v>28</v>
      </c>
      <c r="I353" s="1775" t="s">
        <v>866</v>
      </c>
    </row>
    <row r="354" spans="1:9" ht="11.25" customHeight="1">
      <c r="A354" s="1775" t="s">
        <v>2259</v>
      </c>
      <c r="B354" s="1775" t="s">
        <v>16</v>
      </c>
      <c r="C354" s="1775" t="s">
        <v>3086</v>
      </c>
      <c r="D354" s="1775" t="s">
        <v>3087</v>
      </c>
      <c r="E354" s="1775" t="s">
        <v>3088</v>
      </c>
      <c r="F354" s="1775" t="s">
        <v>2475</v>
      </c>
      <c r="G354" s="1775" t="s">
        <v>28</v>
      </c>
      <c r="H354" s="1775" t="s">
        <v>28</v>
      </c>
      <c r="I354" s="1775" t="s">
        <v>866</v>
      </c>
    </row>
    <row r="355" spans="1:9" ht="11.25" customHeight="1">
      <c r="A355" s="1775" t="s">
        <v>2259</v>
      </c>
      <c r="B355" s="1775" t="s">
        <v>16</v>
      </c>
      <c r="C355" s="1775" t="s">
        <v>3089</v>
      </c>
      <c r="D355" s="1775" t="s">
        <v>3090</v>
      </c>
      <c r="E355" s="1775" t="s">
        <v>3091</v>
      </c>
      <c r="F355" s="1775" t="s">
        <v>2475</v>
      </c>
      <c r="G355" s="1775" t="s">
        <v>28</v>
      </c>
      <c r="H355" s="1775" t="s">
        <v>28</v>
      </c>
      <c r="I355" s="1775" t="s">
        <v>866</v>
      </c>
    </row>
    <row r="356" spans="1:9" ht="11.25" customHeight="1">
      <c r="A356" s="1775" t="s">
        <v>2259</v>
      </c>
      <c r="B356" s="1775" t="s">
        <v>16</v>
      </c>
      <c r="C356" s="1775" t="s">
        <v>28</v>
      </c>
      <c r="D356" s="1775" t="s">
        <v>2623</v>
      </c>
      <c r="E356" s="1775" t="s">
        <v>2624</v>
      </c>
      <c r="F356" s="1775" t="s">
        <v>2270</v>
      </c>
      <c r="G356" s="1775" t="s">
        <v>28</v>
      </c>
      <c r="H356" s="1775" t="s">
        <v>28</v>
      </c>
      <c r="I356" s="1775" t="s">
        <v>866</v>
      </c>
    </row>
    <row r="357" spans="1:9" ht="11.25" customHeight="1">
      <c r="A357" s="1775" t="s">
        <v>2259</v>
      </c>
      <c r="B357" s="1775" t="s">
        <v>16</v>
      </c>
      <c r="C357" s="1775" t="s">
        <v>3092</v>
      </c>
      <c r="D357" s="1775" t="s">
        <v>3093</v>
      </c>
      <c r="E357" s="1775" t="s">
        <v>3094</v>
      </c>
      <c r="F357" s="1775" t="s">
        <v>2364</v>
      </c>
      <c r="G357" s="1775" t="s">
        <v>28</v>
      </c>
      <c r="H357" s="1775" t="s">
        <v>28</v>
      </c>
      <c r="I357" s="1775" t="s">
        <v>866</v>
      </c>
    </row>
    <row r="358" spans="1:9" ht="11.25" customHeight="1">
      <c r="A358" s="1775" t="s">
        <v>2259</v>
      </c>
      <c r="B358" s="1775" t="s">
        <v>16</v>
      </c>
      <c r="C358" s="1775" t="s">
        <v>3095</v>
      </c>
      <c r="D358" s="1775" t="s">
        <v>3096</v>
      </c>
      <c r="E358" s="1775" t="s">
        <v>3097</v>
      </c>
      <c r="F358" s="1775" t="s">
        <v>2289</v>
      </c>
      <c r="G358" s="1775" t="s">
        <v>28</v>
      </c>
      <c r="H358" s="1775" t="s">
        <v>28</v>
      </c>
      <c r="I358" s="1775" t="s">
        <v>866</v>
      </c>
    </row>
    <row r="359" spans="1:9" ht="11.25" customHeight="1">
      <c r="A359" s="1775" t="s">
        <v>2259</v>
      </c>
      <c r="B359" s="1775" t="s">
        <v>16</v>
      </c>
      <c r="C359" s="1775" t="s">
        <v>2632</v>
      </c>
      <c r="D359" s="1775" t="s">
        <v>2633</v>
      </c>
      <c r="E359" s="1775" t="s">
        <v>2634</v>
      </c>
      <c r="F359" s="1775" t="s">
        <v>2635</v>
      </c>
      <c r="G359" s="1775" t="s">
        <v>28</v>
      </c>
      <c r="H359" s="1775" t="s">
        <v>28</v>
      </c>
      <c r="I359" s="1775" t="s">
        <v>866</v>
      </c>
    </row>
    <row r="360" spans="1:9" ht="11.25" customHeight="1">
      <c r="A360" s="1775" t="s">
        <v>2259</v>
      </c>
      <c r="B360" s="1775" t="s">
        <v>16</v>
      </c>
      <c r="C360" s="1775" t="s">
        <v>2636</v>
      </c>
      <c r="D360" s="1775" t="s">
        <v>2637</v>
      </c>
      <c r="E360" s="1775" t="s">
        <v>2638</v>
      </c>
      <c r="F360" s="1775" t="s">
        <v>2384</v>
      </c>
      <c r="G360" s="1775" t="s">
        <v>28</v>
      </c>
      <c r="H360" s="1775" t="s">
        <v>28</v>
      </c>
      <c r="I360" s="1775" t="s">
        <v>866</v>
      </c>
    </row>
    <row r="361" spans="1:9" ht="11.25" customHeight="1">
      <c r="A361" s="1775" t="s">
        <v>2259</v>
      </c>
      <c r="B361" s="1775" t="s">
        <v>16</v>
      </c>
      <c r="C361" s="1775" t="s">
        <v>2639</v>
      </c>
      <c r="D361" s="1775" t="s">
        <v>2640</v>
      </c>
      <c r="E361" s="1775" t="s">
        <v>2641</v>
      </c>
      <c r="F361" s="1775" t="s">
        <v>2289</v>
      </c>
      <c r="G361" s="1775" t="s">
        <v>28</v>
      </c>
      <c r="H361" s="1775" t="s">
        <v>28</v>
      </c>
      <c r="I361" s="1775" t="s">
        <v>866</v>
      </c>
    </row>
    <row r="362" spans="1:9" ht="11.25" customHeight="1">
      <c r="A362" s="1775" t="s">
        <v>2259</v>
      </c>
      <c r="B362" s="1775" t="s">
        <v>16</v>
      </c>
      <c r="C362" s="1775" t="s">
        <v>3098</v>
      </c>
      <c r="D362" s="1775" t="s">
        <v>3099</v>
      </c>
      <c r="E362" s="1775" t="s">
        <v>3100</v>
      </c>
      <c r="F362" s="1775" t="s">
        <v>2289</v>
      </c>
      <c r="G362" s="1775" t="s">
        <v>28</v>
      </c>
      <c r="H362" s="1775" t="s">
        <v>3101</v>
      </c>
      <c r="I362" s="1775" t="s">
        <v>866</v>
      </c>
    </row>
    <row r="363" spans="1:9" ht="11.25" customHeight="1">
      <c r="A363" s="1775" t="s">
        <v>2259</v>
      </c>
      <c r="B363" s="1775" t="s">
        <v>16</v>
      </c>
      <c r="C363" s="1775" t="s">
        <v>2654</v>
      </c>
      <c r="D363" s="1775" t="s">
        <v>2655</v>
      </c>
      <c r="E363" s="1775" t="s">
        <v>2656</v>
      </c>
      <c r="F363" s="1775" t="s">
        <v>2657</v>
      </c>
      <c r="G363" s="1775" t="s">
        <v>28</v>
      </c>
      <c r="H363" s="1775" t="s">
        <v>28</v>
      </c>
      <c r="I363" s="1775" t="s">
        <v>866</v>
      </c>
    </row>
    <row r="364" spans="1:9" ht="11.25" customHeight="1">
      <c r="A364" s="1775" t="s">
        <v>2259</v>
      </c>
      <c r="B364" s="1775" t="s">
        <v>16</v>
      </c>
      <c r="C364" s="1775" t="s">
        <v>3102</v>
      </c>
      <c r="D364" s="1775" t="s">
        <v>3103</v>
      </c>
      <c r="E364" s="1775" t="s">
        <v>2320</v>
      </c>
      <c r="F364" s="1775" t="s">
        <v>3104</v>
      </c>
      <c r="G364" s="1775" t="s">
        <v>28</v>
      </c>
      <c r="H364" s="1775" t="s">
        <v>28</v>
      </c>
      <c r="I364" s="1775" t="s">
        <v>866</v>
      </c>
    </row>
    <row r="365" spans="1:9" ht="11.25" customHeight="1">
      <c r="A365" s="1775" t="s">
        <v>2259</v>
      </c>
      <c r="B365" s="1775" t="s">
        <v>16</v>
      </c>
      <c r="C365" s="1775" t="s">
        <v>3105</v>
      </c>
      <c r="D365" s="1775" t="s">
        <v>3106</v>
      </c>
      <c r="E365" s="1775" t="s">
        <v>2320</v>
      </c>
      <c r="F365" s="1775" t="s">
        <v>3107</v>
      </c>
      <c r="G365" s="1775" t="s">
        <v>28</v>
      </c>
      <c r="H365" s="1775" t="s">
        <v>28</v>
      </c>
      <c r="I365" s="1775" t="s">
        <v>866</v>
      </c>
    </row>
    <row r="366" spans="1:9" ht="11.25" customHeight="1">
      <c r="A366" s="1775" t="s">
        <v>2259</v>
      </c>
      <c r="B366" s="1775" t="s">
        <v>16</v>
      </c>
      <c r="C366" s="1775" t="s">
        <v>2260</v>
      </c>
      <c r="D366" s="1775" t="s">
        <v>2261</v>
      </c>
      <c r="E366" s="1775" t="s">
        <v>2262</v>
      </c>
      <c r="F366" s="1775" t="s">
        <v>2263</v>
      </c>
      <c r="G366" s="1775" t="s">
        <v>2264</v>
      </c>
      <c r="H366" s="1775" t="s">
        <v>28</v>
      </c>
      <c r="I366" s="1775" t="s">
        <v>919</v>
      </c>
    </row>
    <row r="367" spans="1:9" ht="11.25" customHeight="1">
      <c r="A367" s="1775" t="s">
        <v>2259</v>
      </c>
      <c r="B367" s="1775" t="s">
        <v>16</v>
      </c>
      <c r="C367" s="1775" t="s">
        <v>2265</v>
      </c>
      <c r="D367" s="1775" t="s">
        <v>2261</v>
      </c>
      <c r="E367" s="1775" t="s">
        <v>2262</v>
      </c>
      <c r="F367" s="1775" t="s">
        <v>2266</v>
      </c>
      <c r="G367" s="1775" t="s">
        <v>28</v>
      </c>
      <c r="H367" s="1775" t="s">
        <v>28</v>
      </c>
      <c r="I367" s="1775" t="s">
        <v>919</v>
      </c>
    </row>
    <row r="368" spans="1:9" ht="11.25" customHeight="1">
      <c r="A368" s="1775" t="s">
        <v>2259</v>
      </c>
      <c r="B368" s="1775" t="s">
        <v>16</v>
      </c>
      <c r="C368" s="1775" t="s">
        <v>2658</v>
      </c>
      <c r="D368" s="1775" t="s">
        <v>2659</v>
      </c>
      <c r="E368" s="1775" t="s">
        <v>2660</v>
      </c>
      <c r="F368" s="1775" t="s">
        <v>2475</v>
      </c>
      <c r="G368" s="1775" t="s">
        <v>28</v>
      </c>
      <c r="H368" s="1775" t="s">
        <v>28</v>
      </c>
      <c r="I368" s="1775" t="s">
        <v>919</v>
      </c>
    </row>
    <row r="369" spans="1:9" ht="11.25" customHeight="1">
      <c r="A369" s="1775" t="s">
        <v>2259</v>
      </c>
      <c r="B369" s="1775" t="s">
        <v>16</v>
      </c>
      <c r="C369" s="1775" t="s">
        <v>2290</v>
      </c>
      <c r="D369" s="1775" t="s">
        <v>2291</v>
      </c>
      <c r="E369" s="1775" t="s">
        <v>2276</v>
      </c>
      <c r="F369" s="1775" t="s">
        <v>2292</v>
      </c>
      <c r="G369" s="1775" t="s">
        <v>28</v>
      </c>
      <c r="H369" s="1775" t="s">
        <v>28</v>
      </c>
      <c r="I369" s="1775" t="s">
        <v>919</v>
      </c>
    </row>
    <row r="370" spans="1:9" ht="11.25" customHeight="1">
      <c r="A370" s="1775" t="s">
        <v>2259</v>
      </c>
      <c r="B370" s="1775" t="s">
        <v>16</v>
      </c>
      <c r="C370" s="1775" t="s">
        <v>2661</v>
      </c>
      <c r="D370" s="1775" t="s">
        <v>2662</v>
      </c>
      <c r="E370" s="1775" t="s">
        <v>2663</v>
      </c>
      <c r="F370" s="1775" t="s">
        <v>2324</v>
      </c>
      <c r="G370" s="1775" t="s">
        <v>28</v>
      </c>
      <c r="H370" s="1775" t="s">
        <v>28</v>
      </c>
      <c r="I370" s="1775" t="s">
        <v>919</v>
      </c>
    </row>
    <row r="371" spans="1:9" ht="11.25" customHeight="1">
      <c r="A371" s="1775" t="s">
        <v>2259</v>
      </c>
      <c r="B371" s="1775" t="s">
        <v>16</v>
      </c>
      <c r="C371" s="1775" t="s">
        <v>3108</v>
      </c>
      <c r="D371" s="1775" t="s">
        <v>3109</v>
      </c>
      <c r="E371" s="1775" t="s">
        <v>3110</v>
      </c>
      <c r="F371" s="1775" t="s">
        <v>2357</v>
      </c>
      <c r="G371" s="1775" t="s">
        <v>28</v>
      </c>
      <c r="H371" s="1775" t="s">
        <v>28</v>
      </c>
      <c r="I371" s="1775" t="s">
        <v>919</v>
      </c>
    </row>
    <row r="372" spans="1:9" ht="11.25" customHeight="1">
      <c r="A372" s="1775" t="s">
        <v>2259</v>
      </c>
      <c r="B372" s="1775" t="s">
        <v>16</v>
      </c>
      <c r="C372" s="1775" t="s">
        <v>2674</v>
      </c>
      <c r="D372" s="1775" t="s">
        <v>2675</v>
      </c>
      <c r="E372" s="1775" t="s">
        <v>2676</v>
      </c>
      <c r="F372" s="1775" t="s">
        <v>588</v>
      </c>
      <c r="G372" s="1775" t="s">
        <v>28</v>
      </c>
      <c r="H372" s="1775" t="s">
        <v>28</v>
      </c>
      <c r="I372" s="1775" t="s">
        <v>919</v>
      </c>
    </row>
    <row r="373" spans="1:9" ht="11.25" customHeight="1">
      <c r="A373" s="1775" t="s">
        <v>2259</v>
      </c>
      <c r="B373" s="1775" t="s">
        <v>16</v>
      </c>
      <c r="C373" s="1775" t="s">
        <v>2680</v>
      </c>
      <c r="D373" s="1775" t="s">
        <v>2681</v>
      </c>
      <c r="E373" s="1775" t="s">
        <v>2682</v>
      </c>
      <c r="F373" s="1775" t="s">
        <v>588</v>
      </c>
      <c r="G373" s="1775" t="s">
        <v>2683</v>
      </c>
      <c r="H373" s="1775" t="s">
        <v>28</v>
      </c>
      <c r="I373" s="1775" t="s">
        <v>919</v>
      </c>
    </row>
    <row r="374" spans="1:9" ht="11.25" customHeight="1">
      <c r="A374" s="1775" t="s">
        <v>2259</v>
      </c>
      <c r="B374" s="1775" t="s">
        <v>16</v>
      </c>
      <c r="C374" s="1775" t="s">
        <v>2314</v>
      </c>
      <c r="D374" s="1775" t="s">
        <v>2315</v>
      </c>
      <c r="E374" s="1775" t="s">
        <v>2316</v>
      </c>
      <c r="F374" s="1775" t="s">
        <v>2317</v>
      </c>
      <c r="G374" s="1775" t="s">
        <v>28</v>
      </c>
      <c r="H374" s="1775" t="s">
        <v>28</v>
      </c>
      <c r="I374" s="1775" t="s">
        <v>919</v>
      </c>
    </row>
    <row r="375" spans="1:9" ht="11.25" customHeight="1">
      <c r="A375" s="1775" t="s">
        <v>2259</v>
      </c>
      <c r="B375" s="1775" t="s">
        <v>16</v>
      </c>
      <c r="C375" s="1775" t="s">
        <v>2318</v>
      </c>
      <c r="D375" s="1775" t="s">
        <v>2319</v>
      </c>
      <c r="E375" s="1775" t="s">
        <v>2320</v>
      </c>
      <c r="F375" s="1775" t="s">
        <v>2321</v>
      </c>
      <c r="G375" s="1775" t="s">
        <v>28</v>
      </c>
      <c r="H375" s="1775" t="s">
        <v>28</v>
      </c>
      <c r="I375" s="1775" t="s">
        <v>919</v>
      </c>
    </row>
    <row r="376" spans="1:9" ht="11.25" customHeight="1">
      <c r="A376" s="1775" t="s">
        <v>2259</v>
      </c>
      <c r="B376" s="1775" t="s">
        <v>16</v>
      </c>
      <c r="C376" s="1775" t="s">
        <v>2322</v>
      </c>
      <c r="D376" s="1775" t="s">
        <v>2323</v>
      </c>
      <c r="E376" s="1775" t="s">
        <v>2316</v>
      </c>
      <c r="F376" s="1775" t="s">
        <v>2324</v>
      </c>
      <c r="G376" s="1775" t="s">
        <v>28</v>
      </c>
      <c r="H376" s="1775" t="s">
        <v>28</v>
      </c>
      <c r="I376" s="1775" t="s">
        <v>919</v>
      </c>
    </row>
    <row r="377" spans="1:9" ht="11.25" customHeight="1">
      <c r="A377" s="1775" t="s">
        <v>2259</v>
      </c>
      <c r="B377" s="1775" t="s">
        <v>16</v>
      </c>
      <c r="C377" s="1775" t="s">
        <v>2328</v>
      </c>
      <c r="D377" s="1775" t="s">
        <v>2329</v>
      </c>
      <c r="E377" s="1775" t="s">
        <v>2316</v>
      </c>
      <c r="F377" s="1775" t="s">
        <v>2330</v>
      </c>
      <c r="G377" s="1775" t="s">
        <v>28</v>
      </c>
      <c r="H377" s="1775" t="s">
        <v>28</v>
      </c>
      <c r="I377" s="1775" t="s">
        <v>919</v>
      </c>
    </row>
    <row r="378" spans="1:9" ht="11.25" customHeight="1">
      <c r="A378" s="1775" t="s">
        <v>2259</v>
      </c>
      <c r="B378" s="1775" t="s">
        <v>16</v>
      </c>
      <c r="C378" s="1775" t="s">
        <v>2337</v>
      </c>
      <c r="D378" s="1775" t="s">
        <v>2338</v>
      </c>
      <c r="E378" s="1775" t="s">
        <v>2339</v>
      </c>
      <c r="F378" s="1775" t="s">
        <v>2340</v>
      </c>
      <c r="G378" s="1775" t="s">
        <v>28</v>
      </c>
      <c r="H378" s="1775" t="s">
        <v>28</v>
      </c>
      <c r="I378" s="1775" t="s">
        <v>919</v>
      </c>
    </row>
    <row r="379" spans="1:9" ht="11.25" customHeight="1">
      <c r="A379" s="1775" t="s">
        <v>2259</v>
      </c>
      <c r="B379" s="1775" t="s">
        <v>16</v>
      </c>
      <c r="C379" s="1775" t="s">
        <v>28</v>
      </c>
      <c r="D379" s="1775" t="s">
        <v>2352</v>
      </c>
      <c r="E379" s="1775" t="s">
        <v>2353</v>
      </c>
      <c r="F379" s="1775" t="s">
        <v>2289</v>
      </c>
      <c r="G379" s="1775" t="s">
        <v>28</v>
      </c>
      <c r="H379" s="1775" t="s">
        <v>28</v>
      </c>
      <c r="I379" s="1775" t="s">
        <v>919</v>
      </c>
    </row>
    <row r="380" spans="1:9" ht="11.25" customHeight="1">
      <c r="A380" s="1775" t="s">
        <v>2259</v>
      </c>
      <c r="B380" s="1775" t="s">
        <v>16</v>
      </c>
      <c r="C380" s="1775" t="s">
        <v>2697</v>
      </c>
      <c r="D380" s="1775" t="s">
        <v>2698</v>
      </c>
      <c r="E380" s="1775" t="s">
        <v>2699</v>
      </c>
      <c r="F380" s="1775" t="s">
        <v>2388</v>
      </c>
      <c r="G380" s="1775" t="s">
        <v>28</v>
      </c>
      <c r="H380" s="1775" t="s">
        <v>28</v>
      </c>
      <c r="I380" s="1775" t="s">
        <v>919</v>
      </c>
    </row>
    <row r="381" spans="1:9" ht="11.25" customHeight="1">
      <c r="A381" s="1775" t="s">
        <v>2259</v>
      </c>
      <c r="B381" s="1775" t="s">
        <v>16</v>
      </c>
      <c r="C381" s="1775" t="s">
        <v>2700</v>
      </c>
      <c r="D381" s="1775" t="s">
        <v>2698</v>
      </c>
      <c r="E381" s="1775" t="s">
        <v>2701</v>
      </c>
      <c r="F381" s="1775" t="s">
        <v>2375</v>
      </c>
      <c r="G381" s="1775" t="s">
        <v>28</v>
      </c>
      <c r="H381" s="1775" t="s">
        <v>28</v>
      </c>
      <c r="I381" s="1775" t="s">
        <v>919</v>
      </c>
    </row>
    <row r="382" spans="1:9" ht="11.25" customHeight="1">
      <c r="A382" s="1775" t="s">
        <v>2259</v>
      </c>
      <c r="B382" s="1775" t="s">
        <v>16</v>
      </c>
      <c r="C382" s="1775" t="s">
        <v>2705</v>
      </c>
      <c r="D382" s="1775" t="s">
        <v>2706</v>
      </c>
      <c r="E382" s="1775" t="s">
        <v>2707</v>
      </c>
      <c r="F382" s="1775" t="s">
        <v>2351</v>
      </c>
      <c r="G382" s="1775" t="s">
        <v>28</v>
      </c>
      <c r="H382" s="1775" t="s">
        <v>28</v>
      </c>
      <c r="I382" s="1775" t="s">
        <v>919</v>
      </c>
    </row>
    <row r="383" spans="1:9" ht="11.25" customHeight="1">
      <c r="A383" s="1775" t="s">
        <v>2259</v>
      </c>
      <c r="B383" s="1775" t="s">
        <v>16</v>
      </c>
      <c r="C383" s="1775" t="s">
        <v>2708</v>
      </c>
      <c r="D383" s="1775" t="s">
        <v>2709</v>
      </c>
      <c r="E383" s="1775" t="s">
        <v>2710</v>
      </c>
      <c r="F383" s="1775" t="s">
        <v>2357</v>
      </c>
      <c r="G383" s="1775" t="s">
        <v>28</v>
      </c>
      <c r="H383" s="1775" t="s">
        <v>28</v>
      </c>
      <c r="I383" s="1775" t="s">
        <v>919</v>
      </c>
    </row>
    <row r="384" spans="1:9" ht="11.25" customHeight="1">
      <c r="A384" s="1775" t="s">
        <v>2259</v>
      </c>
      <c r="B384" s="1775" t="s">
        <v>16</v>
      </c>
      <c r="C384" s="1775" t="s">
        <v>2354</v>
      </c>
      <c r="D384" s="1775" t="s">
        <v>2355</v>
      </c>
      <c r="E384" s="1775" t="s">
        <v>2356</v>
      </c>
      <c r="F384" s="1775" t="s">
        <v>2357</v>
      </c>
      <c r="G384" s="1775" t="s">
        <v>28</v>
      </c>
      <c r="H384" s="1775" t="s">
        <v>28</v>
      </c>
      <c r="I384" s="1775" t="s">
        <v>919</v>
      </c>
    </row>
    <row r="385" spans="1:9" ht="11.25" customHeight="1">
      <c r="A385" s="1775" t="s">
        <v>2259</v>
      </c>
      <c r="B385" s="1775" t="s">
        <v>16</v>
      </c>
      <c r="C385" s="1775" t="s">
        <v>2711</v>
      </c>
      <c r="D385" s="1775" t="s">
        <v>2712</v>
      </c>
      <c r="E385" s="1775" t="s">
        <v>2713</v>
      </c>
      <c r="F385" s="1775" t="s">
        <v>2714</v>
      </c>
      <c r="G385" s="1775" t="s">
        <v>28</v>
      </c>
      <c r="H385" s="1775" t="s">
        <v>28</v>
      </c>
      <c r="I385" s="1775" t="s">
        <v>919</v>
      </c>
    </row>
    <row r="386" spans="1:9" ht="11.25" customHeight="1">
      <c r="A386" s="1775" t="s">
        <v>2259</v>
      </c>
      <c r="B386" s="1775" t="s">
        <v>16</v>
      </c>
      <c r="C386" s="1775" t="s">
        <v>2358</v>
      </c>
      <c r="D386" s="1775" t="s">
        <v>2359</v>
      </c>
      <c r="E386" s="1775" t="s">
        <v>2360</v>
      </c>
      <c r="F386" s="1775" t="s">
        <v>2357</v>
      </c>
      <c r="G386" s="1775" t="s">
        <v>28</v>
      </c>
      <c r="H386" s="1775" t="s">
        <v>28</v>
      </c>
      <c r="I386" s="1775" t="s">
        <v>919</v>
      </c>
    </row>
    <row r="387" spans="1:9" ht="11.25" customHeight="1">
      <c r="A387" s="1775" t="s">
        <v>2259</v>
      </c>
      <c r="B387" s="1775" t="s">
        <v>16</v>
      </c>
      <c r="C387" s="1775" t="s">
        <v>2361</v>
      </c>
      <c r="D387" s="1775" t="s">
        <v>2362</v>
      </c>
      <c r="E387" s="1775" t="s">
        <v>2363</v>
      </c>
      <c r="F387" s="1775" t="s">
        <v>2364</v>
      </c>
      <c r="G387" s="1775" t="s">
        <v>28</v>
      </c>
      <c r="H387" s="1775" t="s">
        <v>28</v>
      </c>
      <c r="I387" s="1775" t="s">
        <v>919</v>
      </c>
    </row>
    <row r="388" spans="1:9" ht="11.25" customHeight="1">
      <c r="A388" s="1775" t="s">
        <v>2259</v>
      </c>
      <c r="B388" s="1775" t="s">
        <v>16</v>
      </c>
      <c r="C388" s="1775" t="s">
        <v>2365</v>
      </c>
      <c r="D388" s="1775" t="s">
        <v>2366</v>
      </c>
      <c r="E388" s="1775" t="s">
        <v>2367</v>
      </c>
      <c r="F388" s="1775" t="s">
        <v>2351</v>
      </c>
      <c r="G388" s="1775" t="s">
        <v>28</v>
      </c>
      <c r="H388" s="1775" t="s">
        <v>28</v>
      </c>
      <c r="I388" s="1775" t="s">
        <v>919</v>
      </c>
    </row>
    <row r="389" spans="1:9" ht="11.25" customHeight="1">
      <c r="A389" s="1775" t="s">
        <v>2259</v>
      </c>
      <c r="B389" s="1775" t="s">
        <v>16</v>
      </c>
      <c r="C389" s="1775" t="s">
        <v>2723</v>
      </c>
      <c r="D389" s="1775" t="s">
        <v>2724</v>
      </c>
      <c r="E389" s="1775" t="s">
        <v>2725</v>
      </c>
      <c r="F389" s="1775" t="s">
        <v>2347</v>
      </c>
      <c r="G389" s="1775" t="s">
        <v>28</v>
      </c>
      <c r="H389" s="1775" t="s">
        <v>28</v>
      </c>
      <c r="I389" s="1775" t="s">
        <v>919</v>
      </c>
    </row>
    <row r="390" spans="1:9" ht="11.25" customHeight="1">
      <c r="A390" s="1775" t="s">
        <v>2259</v>
      </c>
      <c r="B390" s="1775" t="s">
        <v>16</v>
      </c>
      <c r="C390" s="1775" t="s">
        <v>2729</v>
      </c>
      <c r="D390" s="1775" t="s">
        <v>2730</v>
      </c>
      <c r="E390" s="1775" t="s">
        <v>2731</v>
      </c>
      <c r="F390" s="1775" t="s">
        <v>2732</v>
      </c>
      <c r="G390" s="1775" t="s">
        <v>28</v>
      </c>
      <c r="H390" s="1775" t="s">
        <v>28</v>
      </c>
      <c r="I390" s="1775" t="s">
        <v>919</v>
      </c>
    </row>
    <row r="391" spans="1:9" ht="11.25" customHeight="1">
      <c r="A391" s="1775" t="s">
        <v>2259</v>
      </c>
      <c r="B391" s="1775" t="s">
        <v>16</v>
      </c>
      <c r="C391" s="1775" t="s">
        <v>2736</v>
      </c>
      <c r="D391" s="1775" t="s">
        <v>2737</v>
      </c>
      <c r="E391" s="1775" t="s">
        <v>2738</v>
      </c>
      <c r="F391" s="1775" t="s">
        <v>2347</v>
      </c>
      <c r="G391" s="1775" t="s">
        <v>2739</v>
      </c>
      <c r="H391" s="1775" t="s">
        <v>28</v>
      </c>
      <c r="I391" s="1775" t="s">
        <v>919</v>
      </c>
    </row>
    <row r="392" spans="1:9" ht="11.25" customHeight="1">
      <c r="A392" s="1775" t="s">
        <v>2259</v>
      </c>
      <c r="B392" s="1775" t="s">
        <v>16</v>
      </c>
      <c r="C392" s="1775" t="s">
        <v>2740</v>
      </c>
      <c r="D392" s="1775" t="s">
        <v>2741</v>
      </c>
      <c r="E392" s="1775" t="s">
        <v>2742</v>
      </c>
      <c r="F392" s="1775" t="s">
        <v>2357</v>
      </c>
      <c r="G392" s="1775" t="s">
        <v>2743</v>
      </c>
      <c r="H392" s="1775" t="s">
        <v>28</v>
      </c>
      <c r="I392" s="1775" t="s">
        <v>919</v>
      </c>
    </row>
    <row r="393" spans="1:9" ht="11.25" customHeight="1">
      <c r="A393" s="1775" t="s">
        <v>2259</v>
      </c>
      <c r="B393" s="1775" t="s">
        <v>16</v>
      </c>
      <c r="C393" s="1775" t="s">
        <v>2392</v>
      </c>
      <c r="D393" s="1775" t="s">
        <v>2393</v>
      </c>
      <c r="E393" s="1775" t="s">
        <v>2394</v>
      </c>
      <c r="F393" s="1775" t="s">
        <v>2357</v>
      </c>
      <c r="G393" s="1775" t="s">
        <v>28</v>
      </c>
      <c r="H393" s="1775" t="s">
        <v>28</v>
      </c>
      <c r="I393" s="1775" t="s">
        <v>919</v>
      </c>
    </row>
    <row r="394" spans="1:9" ht="11.25" customHeight="1">
      <c r="A394" s="1775" t="s">
        <v>2259</v>
      </c>
      <c r="B394" s="1775" t="s">
        <v>16</v>
      </c>
      <c r="C394" s="1775" t="s">
        <v>2399</v>
      </c>
      <c r="D394" s="1775" t="s">
        <v>2400</v>
      </c>
      <c r="E394" s="1775" t="s">
        <v>2401</v>
      </c>
      <c r="F394" s="1775" t="s">
        <v>2340</v>
      </c>
      <c r="G394" s="1775" t="s">
        <v>28</v>
      </c>
      <c r="H394" s="1775" t="s">
        <v>28</v>
      </c>
      <c r="I394" s="1775" t="s">
        <v>919</v>
      </c>
    </row>
    <row r="395" spans="1:9" ht="11.25" customHeight="1">
      <c r="A395" s="1775" t="s">
        <v>2259</v>
      </c>
      <c r="B395" s="1775" t="s">
        <v>16</v>
      </c>
      <c r="C395" s="1775" t="s">
        <v>2402</v>
      </c>
      <c r="D395" s="1775" t="s">
        <v>2403</v>
      </c>
      <c r="E395" s="1775" t="s">
        <v>2404</v>
      </c>
      <c r="F395" s="1775" t="s">
        <v>2340</v>
      </c>
      <c r="G395" s="1775" t="s">
        <v>28</v>
      </c>
      <c r="H395" s="1775" t="s">
        <v>28</v>
      </c>
      <c r="I395" s="1775" t="s">
        <v>919</v>
      </c>
    </row>
    <row r="396" spans="1:9" ht="11.25" customHeight="1">
      <c r="A396" s="1775" t="s">
        <v>2259</v>
      </c>
      <c r="B396" s="1775" t="s">
        <v>16</v>
      </c>
      <c r="C396" s="1775" t="s">
        <v>2783</v>
      </c>
      <c r="D396" s="1775" t="s">
        <v>2784</v>
      </c>
      <c r="E396" s="1775" t="s">
        <v>2785</v>
      </c>
      <c r="F396" s="1775" t="s">
        <v>2384</v>
      </c>
      <c r="G396" s="1775" t="s">
        <v>28</v>
      </c>
      <c r="H396" s="1775" t="s">
        <v>28</v>
      </c>
      <c r="I396" s="1775" t="s">
        <v>919</v>
      </c>
    </row>
    <row r="397" spans="1:9" ht="11.25" customHeight="1">
      <c r="A397" s="1775" t="s">
        <v>2259</v>
      </c>
      <c r="B397" s="1775" t="s">
        <v>16</v>
      </c>
      <c r="C397" s="1775" t="s">
        <v>3111</v>
      </c>
      <c r="D397" s="1775" t="s">
        <v>3112</v>
      </c>
      <c r="E397" s="1775" t="s">
        <v>3113</v>
      </c>
      <c r="F397" s="1775" t="s">
        <v>2450</v>
      </c>
      <c r="G397" s="1775" t="s">
        <v>28</v>
      </c>
      <c r="H397" s="1775" t="s">
        <v>28</v>
      </c>
      <c r="I397" s="1775" t="s">
        <v>919</v>
      </c>
    </row>
    <row r="398" spans="1:9" ht="11.25" customHeight="1">
      <c r="A398" s="1775" t="s">
        <v>2259</v>
      </c>
      <c r="B398" s="1775" t="s">
        <v>16</v>
      </c>
      <c r="C398" s="1775" t="s">
        <v>2405</v>
      </c>
      <c r="D398" s="1775" t="s">
        <v>2406</v>
      </c>
      <c r="E398" s="1775" t="s">
        <v>2407</v>
      </c>
      <c r="F398" s="1775" t="s">
        <v>2408</v>
      </c>
      <c r="G398" s="1775" t="s">
        <v>28</v>
      </c>
      <c r="H398" s="1775" t="s">
        <v>28</v>
      </c>
      <c r="I398" s="1775" t="s">
        <v>919</v>
      </c>
    </row>
    <row r="399" spans="1:9" ht="11.25" customHeight="1">
      <c r="A399" s="1775" t="s">
        <v>2259</v>
      </c>
      <c r="B399" s="1775" t="s">
        <v>16</v>
      </c>
      <c r="C399" s="1775" t="s">
        <v>2794</v>
      </c>
      <c r="D399" s="1775" t="s">
        <v>2795</v>
      </c>
      <c r="E399" s="1775" t="s">
        <v>2796</v>
      </c>
      <c r="F399" s="1775" t="s">
        <v>2340</v>
      </c>
      <c r="G399" s="1775" t="s">
        <v>28</v>
      </c>
      <c r="H399" s="1775" t="s">
        <v>2797</v>
      </c>
      <c r="I399" s="1775" t="s">
        <v>919</v>
      </c>
    </row>
    <row r="400" spans="1:9" ht="11.25" customHeight="1">
      <c r="A400" s="1775" t="s">
        <v>2259</v>
      </c>
      <c r="B400" s="1775" t="s">
        <v>16</v>
      </c>
      <c r="C400" s="1775" t="s">
        <v>2804</v>
      </c>
      <c r="D400" s="1775" t="s">
        <v>2805</v>
      </c>
      <c r="E400" s="1775" t="s">
        <v>2806</v>
      </c>
      <c r="F400" s="1775" t="s">
        <v>2308</v>
      </c>
      <c r="G400" s="1775" t="s">
        <v>28</v>
      </c>
      <c r="H400" s="1775" t="s">
        <v>28</v>
      </c>
      <c r="I400" s="1775" t="s">
        <v>919</v>
      </c>
    </row>
    <row r="401" spans="1:9" ht="11.25" customHeight="1">
      <c r="A401" s="1775" t="s">
        <v>2259</v>
      </c>
      <c r="B401" s="1775" t="s">
        <v>16</v>
      </c>
      <c r="C401" s="1775" t="s">
        <v>2422</v>
      </c>
      <c r="D401" s="1775" t="s">
        <v>2423</v>
      </c>
      <c r="E401" s="1775" t="s">
        <v>2424</v>
      </c>
      <c r="F401" s="1775" t="s">
        <v>2408</v>
      </c>
      <c r="G401" s="1775" t="s">
        <v>28</v>
      </c>
      <c r="H401" s="1775" t="s">
        <v>28</v>
      </c>
      <c r="I401" s="1775" t="s">
        <v>919</v>
      </c>
    </row>
    <row r="402" spans="1:9" ht="11.25" customHeight="1">
      <c r="A402" s="1775" t="s">
        <v>2259</v>
      </c>
      <c r="B402" s="1775" t="s">
        <v>16</v>
      </c>
      <c r="C402" s="1775" t="s">
        <v>2425</v>
      </c>
      <c r="D402" s="1775" t="s">
        <v>2426</v>
      </c>
      <c r="E402" s="1775" t="s">
        <v>2427</v>
      </c>
      <c r="F402" s="1775" t="s">
        <v>2428</v>
      </c>
      <c r="G402" s="1775" t="s">
        <v>28</v>
      </c>
      <c r="H402" s="1775" t="s">
        <v>2429</v>
      </c>
      <c r="I402" s="1775" t="s">
        <v>919</v>
      </c>
    </row>
    <row r="403" spans="1:9" ht="11.25" customHeight="1">
      <c r="A403" s="1775" t="s">
        <v>2259</v>
      </c>
      <c r="B403" s="1775" t="s">
        <v>16</v>
      </c>
      <c r="C403" s="1775" t="s">
        <v>2430</v>
      </c>
      <c r="D403" s="1775" t="s">
        <v>2431</v>
      </c>
      <c r="E403" s="1775" t="s">
        <v>2432</v>
      </c>
      <c r="F403" s="1775" t="s">
        <v>2433</v>
      </c>
      <c r="G403" s="1775" t="s">
        <v>28</v>
      </c>
      <c r="H403" s="1775" t="s">
        <v>28</v>
      </c>
      <c r="I403" s="1775" t="s">
        <v>919</v>
      </c>
    </row>
    <row r="404" spans="1:9" ht="11.25" customHeight="1">
      <c r="A404" s="1775" t="s">
        <v>2259</v>
      </c>
      <c r="B404" s="1775" t="s">
        <v>16</v>
      </c>
      <c r="C404" s="1775" t="s">
        <v>2434</v>
      </c>
      <c r="D404" s="1775" t="s">
        <v>2435</v>
      </c>
      <c r="E404" s="1775" t="s">
        <v>2436</v>
      </c>
      <c r="F404" s="1775" t="s">
        <v>2340</v>
      </c>
      <c r="G404" s="1775" t="s">
        <v>28</v>
      </c>
      <c r="H404" s="1775" t="s">
        <v>28</v>
      </c>
      <c r="I404" s="1775" t="s">
        <v>919</v>
      </c>
    </row>
    <row r="405" spans="1:9" ht="11.25" customHeight="1">
      <c r="A405" s="1775" t="s">
        <v>2259</v>
      </c>
      <c r="B405" s="1775" t="s">
        <v>16</v>
      </c>
      <c r="C405" s="1775" t="s">
        <v>2828</v>
      </c>
      <c r="D405" s="1775" t="s">
        <v>2829</v>
      </c>
      <c r="E405" s="1775" t="s">
        <v>2830</v>
      </c>
      <c r="F405" s="1775" t="s">
        <v>2831</v>
      </c>
      <c r="G405" s="1775" t="s">
        <v>28</v>
      </c>
      <c r="H405" s="1775" t="s">
        <v>28</v>
      </c>
      <c r="I405" s="1775" t="s">
        <v>919</v>
      </c>
    </row>
    <row r="406" spans="1:9" ht="11.25" customHeight="1">
      <c r="A406" s="1775" t="s">
        <v>2259</v>
      </c>
      <c r="B406" s="1775" t="s">
        <v>16</v>
      </c>
      <c r="C406" s="1775" t="s">
        <v>2437</v>
      </c>
      <c r="D406" s="1775" t="s">
        <v>2438</v>
      </c>
      <c r="E406" s="1775" t="s">
        <v>2439</v>
      </c>
      <c r="F406" s="1775" t="s">
        <v>2351</v>
      </c>
      <c r="G406" s="1775" t="s">
        <v>28</v>
      </c>
      <c r="H406" s="1775" t="s">
        <v>28</v>
      </c>
      <c r="I406" s="1775" t="s">
        <v>919</v>
      </c>
    </row>
    <row r="407" spans="1:9" ht="11.25" customHeight="1">
      <c r="A407" s="1775" t="s">
        <v>2259</v>
      </c>
      <c r="B407" s="1775" t="s">
        <v>16</v>
      </c>
      <c r="C407" s="1775" t="s">
        <v>2440</v>
      </c>
      <c r="D407" s="1775" t="s">
        <v>2441</v>
      </c>
      <c r="E407" s="1775" t="s">
        <v>2442</v>
      </c>
      <c r="F407" s="1775" t="s">
        <v>2296</v>
      </c>
      <c r="G407" s="1775" t="s">
        <v>28</v>
      </c>
      <c r="H407" s="1775" t="s">
        <v>2443</v>
      </c>
      <c r="I407" s="1775" t="s">
        <v>919</v>
      </c>
    </row>
    <row r="408" spans="1:9" ht="11.25" customHeight="1">
      <c r="A408" s="1775" t="s">
        <v>2259</v>
      </c>
      <c r="B408" s="1775" t="s">
        <v>16</v>
      </c>
      <c r="C408" s="1775" t="s">
        <v>2447</v>
      </c>
      <c r="D408" s="1775" t="s">
        <v>2448</v>
      </c>
      <c r="E408" s="1775" t="s">
        <v>2449</v>
      </c>
      <c r="F408" s="1775" t="s">
        <v>2450</v>
      </c>
      <c r="G408" s="1775" t="s">
        <v>28</v>
      </c>
      <c r="H408" s="1775" t="s">
        <v>28</v>
      </c>
      <c r="I408" s="1775" t="s">
        <v>919</v>
      </c>
    </row>
    <row r="409" spans="1:9" ht="11.25" customHeight="1">
      <c r="A409" s="1775" t="s">
        <v>2259</v>
      </c>
      <c r="B409" s="1775" t="s">
        <v>16</v>
      </c>
      <c r="C409" s="1775" t="s">
        <v>2454</v>
      </c>
      <c r="D409" s="1775" t="s">
        <v>2455</v>
      </c>
      <c r="E409" s="1775" t="s">
        <v>2456</v>
      </c>
      <c r="F409" s="1775" t="s">
        <v>2388</v>
      </c>
      <c r="G409" s="1775" t="s">
        <v>28</v>
      </c>
      <c r="H409" s="1775" t="s">
        <v>2457</v>
      </c>
      <c r="I409" s="1775" t="s">
        <v>919</v>
      </c>
    </row>
    <row r="410" spans="1:9" ht="11.25" customHeight="1">
      <c r="A410" s="1775" t="s">
        <v>2259</v>
      </c>
      <c r="B410" s="1775" t="s">
        <v>16</v>
      </c>
      <c r="C410" s="1775" t="s">
        <v>2458</v>
      </c>
      <c r="D410" s="1775" t="s">
        <v>2459</v>
      </c>
      <c r="E410" s="1775" t="s">
        <v>2460</v>
      </c>
      <c r="F410" s="1775" t="s">
        <v>2340</v>
      </c>
      <c r="G410" s="1775" t="s">
        <v>28</v>
      </c>
      <c r="H410" s="1775" t="s">
        <v>28</v>
      </c>
      <c r="I410" s="1775" t="s">
        <v>919</v>
      </c>
    </row>
    <row r="411" spans="1:9" ht="11.25" customHeight="1">
      <c r="A411" s="1775" t="s">
        <v>2259</v>
      </c>
      <c r="B411" s="1775" t="s">
        <v>16</v>
      </c>
      <c r="C411" s="1775" t="s">
        <v>2464</v>
      </c>
      <c r="D411" s="1775" t="s">
        <v>2465</v>
      </c>
      <c r="E411" s="1775" t="s">
        <v>2466</v>
      </c>
      <c r="F411" s="1775" t="s">
        <v>2340</v>
      </c>
      <c r="G411" s="1775" t="s">
        <v>2467</v>
      </c>
      <c r="H411" s="1775" t="s">
        <v>28</v>
      </c>
      <c r="I411" s="1775" t="s">
        <v>919</v>
      </c>
    </row>
    <row r="412" spans="1:9" ht="11.25" customHeight="1">
      <c r="A412" s="1775" t="s">
        <v>2259</v>
      </c>
      <c r="B412" s="1775" t="s">
        <v>16</v>
      </c>
      <c r="C412" s="1775" t="s">
        <v>2895</v>
      </c>
      <c r="D412" s="1775" t="s">
        <v>2896</v>
      </c>
      <c r="E412" s="1775" t="s">
        <v>2897</v>
      </c>
      <c r="F412" s="1775" t="s">
        <v>2388</v>
      </c>
      <c r="G412" s="1775" t="s">
        <v>28</v>
      </c>
      <c r="H412" s="1775" t="s">
        <v>28</v>
      </c>
      <c r="I412" s="1775" t="s">
        <v>919</v>
      </c>
    </row>
    <row r="413" spans="1:9" ht="11.25" customHeight="1">
      <c r="A413" s="1775" t="s">
        <v>2259</v>
      </c>
      <c r="B413" s="1775" t="s">
        <v>16</v>
      </c>
      <c r="C413" s="1775" t="s">
        <v>2476</v>
      </c>
      <c r="D413" s="1775" t="s">
        <v>2477</v>
      </c>
      <c r="E413" s="1775" t="s">
        <v>2478</v>
      </c>
      <c r="F413" s="1775" t="s">
        <v>2450</v>
      </c>
      <c r="G413" s="1775" t="s">
        <v>28</v>
      </c>
      <c r="H413" s="1775" t="s">
        <v>28</v>
      </c>
      <c r="I413" s="1775" t="s">
        <v>919</v>
      </c>
    </row>
    <row r="414" spans="1:9" ht="11.25" customHeight="1">
      <c r="A414" s="1775" t="s">
        <v>2259</v>
      </c>
      <c r="B414" s="1775" t="s">
        <v>16</v>
      </c>
      <c r="C414" s="1775" t="s">
        <v>2482</v>
      </c>
      <c r="D414" s="1775" t="s">
        <v>2483</v>
      </c>
      <c r="E414" s="1775" t="s">
        <v>2484</v>
      </c>
      <c r="F414" s="1775" t="s">
        <v>2421</v>
      </c>
      <c r="G414" s="1775" t="s">
        <v>28</v>
      </c>
      <c r="H414" s="1775" t="s">
        <v>28</v>
      </c>
      <c r="I414" s="1775" t="s">
        <v>919</v>
      </c>
    </row>
    <row r="415" spans="1:9" ht="11.25" customHeight="1">
      <c r="A415" s="1775" t="s">
        <v>2259</v>
      </c>
      <c r="B415" s="1775" t="s">
        <v>16</v>
      </c>
      <c r="C415" s="1775" t="s">
        <v>3114</v>
      </c>
      <c r="D415" s="1775" t="s">
        <v>3115</v>
      </c>
      <c r="E415" s="1775" t="s">
        <v>3116</v>
      </c>
      <c r="F415" s="1775" t="s">
        <v>2421</v>
      </c>
      <c r="G415" s="1775" t="s">
        <v>28</v>
      </c>
      <c r="H415" s="1775" t="s">
        <v>28</v>
      </c>
      <c r="I415" s="1775" t="s">
        <v>919</v>
      </c>
    </row>
    <row r="416" spans="1:9" ht="11.25" customHeight="1">
      <c r="A416" s="1775" t="s">
        <v>2259</v>
      </c>
      <c r="B416" s="1775" t="s">
        <v>16</v>
      </c>
      <c r="C416" s="1775" t="s">
        <v>2916</v>
      </c>
      <c r="D416" s="1775" t="s">
        <v>2917</v>
      </c>
      <c r="E416" s="1775" t="s">
        <v>2918</v>
      </c>
      <c r="F416" s="1775" t="s">
        <v>2556</v>
      </c>
      <c r="G416" s="1775" t="s">
        <v>28</v>
      </c>
      <c r="H416" s="1775" t="s">
        <v>28</v>
      </c>
      <c r="I416" s="1775" t="s">
        <v>919</v>
      </c>
    </row>
    <row r="417" spans="1:9" ht="11.25" customHeight="1">
      <c r="A417" s="1775" t="s">
        <v>2259</v>
      </c>
      <c r="B417" s="1775" t="s">
        <v>16</v>
      </c>
      <c r="C417" s="1775" t="s">
        <v>2923</v>
      </c>
      <c r="D417" s="1775" t="s">
        <v>2924</v>
      </c>
      <c r="E417" s="1775" t="s">
        <v>2925</v>
      </c>
      <c r="F417" s="1775" t="s">
        <v>2270</v>
      </c>
      <c r="G417" s="1775" t="s">
        <v>28</v>
      </c>
      <c r="H417" s="1775" t="s">
        <v>28</v>
      </c>
      <c r="I417" s="1775" t="s">
        <v>919</v>
      </c>
    </row>
    <row r="418" spans="1:9" ht="11.25" customHeight="1">
      <c r="A418" s="1775" t="s">
        <v>2259</v>
      </c>
      <c r="B418" s="1775" t="s">
        <v>16</v>
      </c>
      <c r="C418" s="1775" t="s">
        <v>3117</v>
      </c>
      <c r="D418" s="1775" t="s">
        <v>3118</v>
      </c>
      <c r="E418" s="1775" t="s">
        <v>3119</v>
      </c>
      <c r="F418" s="1775" t="s">
        <v>51</v>
      </c>
      <c r="G418" s="1775" t="s">
        <v>28</v>
      </c>
      <c r="H418" s="1775" t="s">
        <v>28</v>
      </c>
      <c r="I418" s="1775" t="s">
        <v>919</v>
      </c>
    </row>
    <row r="419" spans="1:9" ht="11.25" customHeight="1">
      <c r="A419" s="1775" t="s">
        <v>2259</v>
      </c>
      <c r="B419" s="1775" t="s">
        <v>16</v>
      </c>
      <c r="C419" s="1775" t="s">
        <v>2934</v>
      </c>
      <c r="D419" s="1775" t="s">
        <v>2495</v>
      </c>
      <c r="E419" s="1775" t="s">
        <v>2935</v>
      </c>
      <c r="F419" s="1775" t="s">
        <v>2380</v>
      </c>
      <c r="G419" s="1775" t="s">
        <v>28</v>
      </c>
      <c r="H419" s="1775" t="s">
        <v>28</v>
      </c>
      <c r="I419" s="1775" t="s">
        <v>919</v>
      </c>
    </row>
    <row r="420" spans="1:9" ht="11.25" customHeight="1">
      <c r="A420" s="1775" t="s">
        <v>2259</v>
      </c>
      <c r="B420" s="1775" t="s">
        <v>16</v>
      </c>
      <c r="C420" s="1775" t="s">
        <v>2936</v>
      </c>
      <c r="D420" s="1775" t="s">
        <v>2495</v>
      </c>
      <c r="E420" s="1775" t="s">
        <v>2937</v>
      </c>
      <c r="F420" s="1775" t="s">
        <v>2475</v>
      </c>
      <c r="G420" s="1775" t="s">
        <v>28</v>
      </c>
      <c r="H420" s="1775" t="s">
        <v>28</v>
      </c>
      <c r="I420" s="1775" t="s">
        <v>919</v>
      </c>
    </row>
    <row r="421" spans="1:9" ht="11.25" customHeight="1">
      <c r="A421" s="1775" t="s">
        <v>2259</v>
      </c>
      <c r="B421" s="1775" t="s">
        <v>16</v>
      </c>
      <c r="C421" s="1775" t="s">
        <v>2494</v>
      </c>
      <c r="D421" s="1775" t="s">
        <v>2495</v>
      </c>
      <c r="E421" s="1775" t="s">
        <v>2496</v>
      </c>
      <c r="F421" s="1775" t="s">
        <v>2340</v>
      </c>
      <c r="G421" s="1775" t="s">
        <v>28</v>
      </c>
      <c r="H421" s="1775" t="s">
        <v>28</v>
      </c>
      <c r="I421" s="1775" t="s">
        <v>919</v>
      </c>
    </row>
    <row r="422" spans="1:9" ht="11.25" customHeight="1">
      <c r="A422" s="1775" t="s">
        <v>2259</v>
      </c>
      <c r="B422" s="1775" t="s">
        <v>16</v>
      </c>
      <c r="C422" s="1775" t="s">
        <v>2948</v>
      </c>
      <c r="D422" s="1775" t="s">
        <v>2949</v>
      </c>
      <c r="E422" s="1775" t="s">
        <v>2950</v>
      </c>
      <c r="F422" s="1775" t="s">
        <v>2296</v>
      </c>
      <c r="G422" s="1775" t="s">
        <v>28</v>
      </c>
      <c r="H422" s="1775" t="s">
        <v>28</v>
      </c>
      <c r="I422" s="1775" t="s">
        <v>919</v>
      </c>
    </row>
    <row r="423" spans="1:9" ht="11.25" customHeight="1">
      <c r="A423" s="1775" t="s">
        <v>2259</v>
      </c>
      <c r="B423" s="1775" t="s">
        <v>16</v>
      </c>
      <c r="C423" s="1775" t="s">
        <v>2951</v>
      </c>
      <c r="D423" s="1775" t="s">
        <v>2952</v>
      </c>
      <c r="E423" s="1775" t="s">
        <v>2953</v>
      </c>
      <c r="F423" s="1775" t="s">
        <v>2450</v>
      </c>
      <c r="G423" s="1775" t="s">
        <v>28</v>
      </c>
      <c r="H423" s="1775" t="s">
        <v>28</v>
      </c>
      <c r="I423" s="1775" t="s">
        <v>919</v>
      </c>
    </row>
    <row r="424" spans="1:9" ht="11.25" customHeight="1">
      <c r="A424" s="1775" t="s">
        <v>2259</v>
      </c>
      <c r="B424" s="1775" t="s">
        <v>16</v>
      </c>
      <c r="C424" s="1775" t="s">
        <v>2954</v>
      </c>
      <c r="D424" s="1775" t="s">
        <v>2955</v>
      </c>
      <c r="E424" s="1775" t="s">
        <v>2956</v>
      </c>
      <c r="F424" s="1775" t="s">
        <v>2556</v>
      </c>
      <c r="G424" s="1775" t="s">
        <v>28</v>
      </c>
      <c r="H424" s="1775" t="s">
        <v>28</v>
      </c>
      <c r="I424" s="1775" t="s">
        <v>919</v>
      </c>
    </row>
    <row r="425" spans="1:9" ht="11.25" customHeight="1">
      <c r="A425" s="1775" t="s">
        <v>2259</v>
      </c>
      <c r="B425" s="1775" t="s">
        <v>16</v>
      </c>
      <c r="C425" s="1775" t="s">
        <v>2515</v>
      </c>
      <c r="D425" s="1775" t="s">
        <v>2516</v>
      </c>
      <c r="E425" s="1775" t="s">
        <v>2517</v>
      </c>
      <c r="F425" s="1775" t="s">
        <v>2340</v>
      </c>
      <c r="G425" s="1775" t="s">
        <v>28</v>
      </c>
      <c r="H425" s="1775" t="s">
        <v>28</v>
      </c>
      <c r="I425" s="1775" t="s">
        <v>919</v>
      </c>
    </row>
    <row r="426" spans="1:9" ht="11.25" customHeight="1">
      <c r="A426" s="1775" t="s">
        <v>2259</v>
      </c>
      <c r="B426" s="1775" t="s">
        <v>16</v>
      </c>
      <c r="C426" s="1775" t="s">
        <v>3120</v>
      </c>
      <c r="D426" s="1775" t="s">
        <v>3121</v>
      </c>
      <c r="E426" s="1775" t="s">
        <v>3122</v>
      </c>
      <c r="F426" s="1775" t="s">
        <v>2421</v>
      </c>
      <c r="G426" s="1775" t="s">
        <v>28</v>
      </c>
      <c r="H426" s="1775" t="s">
        <v>28</v>
      </c>
      <c r="I426" s="1775" t="s">
        <v>919</v>
      </c>
    </row>
    <row r="427" spans="1:9" ht="11.25" customHeight="1">
      <c r="A427" s="1775" t="s">
        <v>2259</v>
      </c>
      <c r="B427" s="1775" t="s">
        <v>16</v>
      </c>
      <c r="C427" s="1775" t="s">
        <v>2963</v>
      </c>
      <c r="D427" s="1775" t="s">
        <v>2964</v>
      </c>
      <c r="E427" s="1775" t="s">
        <v>2965</v>
      </c>
      <c r="F427" s="1775" t="s">
        <v>2412</v>
      </c>
      <c r="G427" s="1775" t="s">
        <v>28</v>
      </c>
      <c r="H427" s="1775" t="s">
        <v>28</v>
      </c>
      <c r="I427" s="1775" t="s">
        <v>919</v>
      </c>
    </row>
    <row r="428" spans="1:9" ht="11.25" customHeight="1">
      <c r="A428" s="1775" t="s">
        <v>2259</v>
      </c>
      <c r="B428" s="1775" t="s">
        <v>16</v>
      </c>
      <c r="C428" s="1775" t="s">
        <v>2521</v>
      </c>
      <c r="D428" s="1775" t="s">
        <v>2522</v>
      </c>
      <c r="E428" s="1775" t="s">
        <v>2523</v>
      </c>
      <c r="F428" s="1775" t="s">
        <v>2347</v>
      </c>
      <c r="G428" s="1775" t="s">
        <v>28</v>
      </c>
      <c r="H428" s="1775" t="s">
        <v>28</v>
      </c>
      <c r="I428" s="1775" t="s">
        <v>919</v>
      </c>
    </row>
    <row r="429" spans="1:9" ht="11.25" customHeight="1">
      <c r="A429" s="1775" t="s">
        <v>2259</v>
      </c>
      <c r="B429" s="1775" t="s">
        <v>16</v>
      </c>
      <c r="C429" s="1775" t="s">
        <v>3123</v>
      </c>
      <c r="D429" s="1775" t="s">
        <v>3124</v>
      </c>
      <c r="E429" s="1775" t="s">
        <v>3125</v>
      </c>
      <c r="F429" s="1775" t="s">
        <v>3126</v>
      </c>
      <c r="G429" s="1775" t="s">
        <v>28</v>
      </c>
      <c r="H429" s="1775" t="s">
        <v>28</v>
      </c>
      <c r="I429" s="1775" t="s">
        <v>919</v>
      </c>
    </row>
    <row r="430" spans="1:9" ht="11.25" customHeight="1">
      <c r="A430" s="1775" t="s">
        <v>2259</v>
      </c>
      <c r="B430" s="1775" t="s">
        <v>16</v>
      </c>
      <c r="C430" s="1775" t="s">
        <v>3127</v>
      </c>
      <c r="D430" s="1775" t="s">
        <v>3128</v>
      </c>
      <c r="E430" s="1775" t="s">
        <v>3129</v>
      </c>
      <c r="F430" s="1775" t="s">
        <v>2450</v>
      </c>
      <c r="G430" s="1775" t="s">
        <v>3130</v>
      </c>
      <c r="H430" s="1775" t="s">
        <v>3131</v>
      </c>
      <c r="I430" s="1775" t="s">
        <v>919</v>
      </c>
    </row>
    <row r="431" spans="1:9" ht="11.25" customHeight="1">
      <c r="A431" s="1775" t="s">
        <v>2259</v>
      </c>
      <c r="B431" s="1775" t="s">
        <v>16</v>
      </c>
      <c r="C431" s="1775" t="s">
        <v>3132</v>
      </c>
      <c r="D431" s="1775" t="s">
        <v>3128</v>
      </c>
      <c r="E431" s="1775" t="s">
        <v>3133</v>
      </c>
      <c r="F431" s="1775" t="s">
        <v>2412</v>
      </c>
      <c r="G431" s="1775" t="s">
        <v>28</v>
      </c>
      <c r="H431" s="1775" t="s">
        <v>28</v>
      </c>
      <c r="I431" s="1775" t="s">
        <v>919</v>
      </c>
    </row>
    <row r="432" spans="1:9" ht="11.25" customHeight="1">
      <c r="A432" s="1775" t="s">
        <v>2259</v>
      </c>
      <c r="B432" s="1775" t="s">
        <v>16</v>
      </c>
      <c r="C432" s="1775" t="s">
        <v>3134</v>
      </c>
      <c r="D432" s="1775" t="s">
        <v>3135</v>
      </c>
      <c r="E432" s="1775" t="s">
        <v>3136</v>
      </c>
      <c r="F432" s="1775" t="s">
        <v>2296</v>
      </c>
      <c r="G432" s="1775" t="s">
        <v>28</v>
      </c>
      <c r="H432" s="1775" t="s">
        <v>28</v>
      </c>
      <c r="I432" s="1775" t="s">
        <v>919</v>
      </c>
    </row>
    <row r="433" spans="1:9" ht="11.25" customHeight="1">
      <c r="A433" s="1775" t="s">
        <v>2259</v>
      </c>
      <c r="B433" s="1775" t="s">
        <v>16</v>
      </c>
      <c r="C433" s="1775" t="s">
        <v>2980</v>
      </c>
      <c r="D433" s="1775" t="s">
        <v>2981</v>
      </c>
      <c r="E433" s="1775" t="s">
        <v>2982</v>
      </c>
      <c r="F433" s="1775" t="s">
        <v>51</v>
      </c>
      <c r="G433" s="1775" t="s">
        <v>28</v>
      </c>
      <c r="H433" s="1775" t="s">
        <v>28</v>
      </c>
      <c r="I433" s="1775" t="s">
        <v>919</v>
      </c>
    </row>
    <row r="434" spans="1:9" ht="11.25" customHeight="1">
      <c r="A434" s="1775" t="s">
        <v>2259</v>
      </c>
      <c r="B434" s="1775" t="s">
        <v>16</v>
      </c>
      <c r="C434" s="1775" t="s">
        <v>2983</v>
      </c>
      <c r="D434" s="1775" t="s">
        <v>2984</v>
      </c>
      <c r="E434" s="1775" t="s">
        <v>2985</v>
      </c>
      <c r="F434" s="1775" t="s">
        <v>2357</v>
      </c>
      <c r="G434" s="1775" t="s">
        <v>28</v>
      </c>
      <c r="H434" s="1775" t="s">
        <v>28</v>
      </c>
      <c r="I434" s="1775" t="s">
        <v>919</v>
      </c>
    </row>
    <row r="435" spans="1:9" ht="11.25" customHeight="1">
      <c r="A435" s="1775" t="s">
        <v>2259</v>
      </c>
      <c r="B435" s="1775" t="s">
        <v>16</v>
      </c>
      <c r="C435" s="1775" t="s">
        <v>3137</v>
      </c>
      <c r="D435" s="1775" t="s">
        <v>3138</v>
      </c>
      <c r="E435" s="1775" t="s">
        <v>3139</v>
      </c>
      <c r="F435" s="1775" t="s">
        <v>2412</v>
      </c>
      <c r="G435" s="1775" t="s">
        <v>28</v>
      </c>
      <c r="H435" s="1775" t="s">
        <v>28</v>
      </c>
      <c r="I435" s="1775" t="s">
        <v>919</v>
      </c>
    </row>
    <row r="436" spans="1:9" ht="11.25" customHeight="1">
      <c r="A436" s="1775" t="s">
        <v>2259</v>
      </c>
      <c r="B436" s="1775" t="s">
        <v>16</v>
      </c>
      <c r="C436" s="1775" t="s">
        <v>2992</v>
      </c>
      <c r="D436" s="1775" t="s">
        <v>2990</v>
      </c>
      <c r="E436" s="1775" t="s">
        <v>2993</v>
      </c>
      <c r="F436" s="1775" t="s">
        <v>2556</v>
      </c>
      <c r="G436" s="1775" t="s">
        <v>28</v>
      </c>
      <c r="H436" s="1775" t="s">
        <v>28</v>
      </c>
      <c r="I436" s="1775" t="s">
        <v>919</v>
      </c>
    </row>
    <row r="437" spans="1:9" ht="11.25" customHeight="1">
      <c r="A437" s="1775" t="s">
        <v>2259</v>
      </c>
      <c r="B437" s="1775" t="s">
        <v>16</v>
      </c>
      <c r="C437" s="1775" t="s">
        <v>3003</v>
      </c>
      <c r="D437" s="1775" t="s">
        <v>3004</v>
      </c>
      <c r="E437" s="1775" t="s">
        <v>3005</v>
      </c>
      <c r="F437" s="1775" t="s">
        <v>2357</v>
      </c>
      <c r="G437" s="1775" t="s">
        <v>28</v>
      </c>
      <c r="H437" s="1775" t="s">
        <v>28</v>
      </c>
      <c r="I437" s="1775" t="s">
        <v>919</v>
      </c>
    </row>
    <row r="438" spans="1:9" ht="11.25" customHeight="1">
      <c r="A438" s="1775" t="s">
        <v>2259</v>
      </c>
      <c r="B438" s="1775" t="s">
        <v>16</v>
      </c>
      <c r="C438" s="1775" t="s">
        <v>2547</v>
      </c>
      <c r="D438" s="1775" t="s">
        <v>2548</v>
      </c>
      <c r="E438" s="1775" t="s">
        <v>2549</v>
      </c>
      <c r="F438" s="1775" t="s">
        <v>2384</v>
      </c>
      <c r="G438" s="1775" t="s">
        <v>28</v>
      </c>
      <c r="H438" s="1775" t="s">
        <v>28</v>
      </c>
      <c r="I438" s="1775" t="s">
        <v>919</v>
      </c>
    </row>
    <row r="439" spans="1:9" ht="11.25" customHeight="1">
      <c r="A439" s="1775" t="s">
        <v>2259</v>
      </c>
      <c r="B439" s="1775" t="s">
        <v>16</v>
      </c>
      <c r="C439" s="1775" t="s">
        <v>3010</v>
      </c>
      <c r="D439" s="1775" t="s">
        <v>3011</v>
      </c>
      <c r="E439" s="1775" t="s">
        <v>3012</v>
      </c>
      <c r="F439" s="1775" t="s">
        <v>2375</v>
      </c>
      <c r="G439" s="1775" t="s">
        <v>28</v>
      </c>
      <c r="H439" s="1775" t="s">
        <v>28</v>
      </c>
      <c r="I439" s="1775" t="s">
        <v>919</v>
      </c>
    </row>
    <row r="440" spans="1:9" ht="11.25" customHeight="1">
      <c r="A440" s="1775" t="s">
        <v>2259</v>
      </c>
      <c r="B440" s="1775" t="s">
        <v>16</v>
      </c>
      <c r="C440" s="1775" t="s">
        <v>3016</v>
      </c>
      <c r="D440" s="1775" t="s">
        <v>3017</v>
      </c>
      <c r="E440" s="1775" t="s">
        <v>3018</v>
      </c>
      <c r="F440" s="1775" t="s">
        <v>2357</v>
      </c>
      <c r="G440" s="1775" t="s">
        <v>28</v>
      </c>
      <c r="H440" s="1775" t="s">
        <v>28</v>
      </c>
      <c r="I440" s="1775" t="s">
        <v>919</v>
      </c>
    </row>
    <row r="441" spans="1:9" ht="11.25" customHeight="1">
      <c r="A441" s="1775" t="s">
        <v>2259</v>
      </c>
      <c r="B441" s="1775" t="s">
        <v>16</v>
      </c>
      <c r="C441" s="1775" t="s">
        <v>2610</v>
      </c>
      <c r="D441" s="1775" t="s">
        <v>2611</v>
      </c>
      <c r="E441" s="1775" t="s">
        <v>2612</v>
      </c>
      <c r="F441" s="1775" t="s">
        <v>2281</v>
      </c>
      <c r="G441" s="1775" t="s">
        <v>28</v>
      </c>
      <c r="H441" s="1775" t="s">
        <v>28</v>
      </c>
      <c r="I441" s="1775" t="s">
        <v>919</v>
      </c>
    </row>
    <row r="442" spans="1:9" ht="11.25" customHeight="1">
      <c r="A442" s="1775" t="s">
        <v>2259</v>
      </c>
      <c r="B442" s="1775" t="s">
        <v>16</v>
      </c>
      <c r="C442" s="1775" t="s">
        <v>2613</v>
      </c>
      <c r="D442" s="1775" t="s">
        <v>2614</v>
      </c>
      <c r="E442" s="1775" t="s">
        <v>2615</v>
      </c>
      <c r="F442" s="1775" t="s">
        <v>2364</v>
      </c>
      <c r="G442" s="1775" t="s">
        <v>28</v>
      </c>
      <c r="H442" s="1775" t="s">
        <v>28</v>
      </c>
      <c r="I442" s="1775" t="s">
        <v>919</v>
      </c>
    </row>
    <row r="443" spans="1:9" ht="11.25" customHeight="1">
      <c r="A443" s="1775" t="s">
        <v>2259</v>
      </c>
      <c r="B443" s="1775" t="s">
        <v>16</v>
      </c>
      <c r="C443" s="1775" t="s">
        <v>3140</v>
      </c>
      <c r="D443" s="1775" t="s">
        <v>3141</v>
      </c>
      <c r="E443" s="1775" t="s">
        <v>3142</v>
      </c>
      <c r="F443" s="1775" t="s">
        <v>2289</v>
      </c>
      <c r="G443" s="1775" t="s">
        <v>28</v>
      </c>
      <c r="H443" s="1775" t="s">
        <v>28</v>
      </c>
      <c r="I443" s="1775" t="s">
        <v>919</v>
      </c>
    </row>
    <row r="444" spans="1:9" ht="11.25" customHeight="1">
      <c r="A444" s="1775" t="s">
        <v>2259</v>
      </c>
      <c r="B444" s="1775" t="s">
        <v>16</v>
      </c>
      <c r="C444" s="1775" t="s">
        <v>3033</v>
      </c>
      <c r="D444" s="1775" t="s">
        <v>3034</v>
      </c>
      <c r="E444" s="1775" t="s">
        <v>3035</v>
      </c>
      <c r="F444" s="1775" t="s">
        <v>2556</v>
      </c>
      <c r="G444" s="1775" t="s">
        <v>28</v>
      </c>
      <c r="H444" s="1775" t="s">
        <v>28</v>
      </c>
      <c r="I444" s="1775" t="s">
        <v>919</v>
      </c>
    </row>
    <row r="445" spans="1:9" ht="11.25" customHeight="1">
      <c r="A445" s="1775" t="s">
        <v>2259</v>
      </c>
      <c r="B445" s="1775" t="s">
        <v>16</v>
      </c>
      <c r="C445" s="1775" t="s">
        <v>28</v>
      </c>
      <c r="D445" s="1775" t="s">
        <v>2623</v>
      </c>
      <c r="E445" s="1775" t="s">
        <v>2624</v>
      </c>
      <c r="F445" s="1775" t="s">
        <v>2270</v>
      </c>
      <c r="G445" s="1775" t="s">
        <v>28</v>
      </c>
      <c r="H445" s="1775" t="s">
        <v>28</v>
      </c>
      <c r="I445" s="1775" t="s">
        <v>919</v>
      </c>
    </row>
    <row r="446" spans="1:9" ht="11.25" customHeight="1">
      <c r="A446" s="1775" t="s">
        <v>2259</v>
      </c>
      <c r="B446" s="1775" t="s">
        <v>16</v>
      </c>
      <c r="C446" s="1775" t="s">
        <v>3092</v>
      </c>
      <c r="D446" s="1775" t="s">
        <v>3093</v>
      </c>
      <c r="E446" s="1775" t="s">
        <v>3094</v>
      </c>
      <c r="F446" s="1775" t="s">
        <v>2364</v>
      </c>
      <c r="G446" s="1775" t="s">
        <v>28</v>
      </c>
      <c r="H446" s="1775" t="s">
        <v>28</v>
      </c>
      <c r="I446" s="1775" t="s">
        <v>919</v>
      </c>
    </row>
    <row r="447" spans="1:9" ht="11.25" customHeight="1">
      <c r="A447" s="1775" t="s">
        <v>2259</v>
      </c>
      <c r="B447" s="1775" t="s">
        <v>16</v>
      </c>
      <c r="C447" s="1775" t="s">
        <v>2636</v>
      </c>
      <c r="D447" s="1775" t="s">
        <v>2637</v>
      </c>
      <c r="E447" s="1775" t="s">
        <v>2638</v>
      </c>
      <c r="F447" s="1775" t="s">
        <v>2384</v>
      </c>
      <c r="G447" s="1775" t="s">
        <v>28</v>
      </c>
      <c r="H447" s="1775" t="s">
        <v>28</v>
      </c>
      <c r="I447" s="1775" t="s">
        <v>919</v>
      </c>
    </row>
    <row r="448" spans="1:9" ht="11.25" customHeight="1">
      <c r="A448" s="1775" t="s">
        <v>2259</v>
      </c>
      <c r="B448" s="1775" t="s">
        <v>16</v>
      </c>
      <c r="C448" s="1775" t="s">
        <v>2654</v>
      </c>
      <c r="D448" s="1775" t="s">
        <v>2655</v>
      </c>
      <c r="E448" s="1775" t="s">
        <v>2656</v>
      </c>
      <c r="F448" s="1775" t="s">
        <v>2657</v>
      </c>
      <c r="G448" s="1775" t="s">
        <v>28</v>
      </c>
      <c r="H448" s="1775" t="s">
        <v>28</v>
      </c>
      <c r="I448" s="1775" t="s">
        <v>919</v>
      </c>
    </row>
    <row r="449" spans="1:9" ht="11.25" customHeight="1">
      <c r="A449" s="1775" t="s">
        <v>2259</v>
      </c>
      <c r="B449" s="1775" t="s">
        <v>16</v>
      </c>
      <c r="C449" s="1775" t="s">
        <v>3143</v>
      </c>
      <c r="D449" s="1775" t="s">
        <v>3144</v>
      </c>
      <c r="E449" s="1775" t="s">
        <v>3145</v>
      </c>
      <c r="F449" s="1775" t="s">
        <v>2347</v>
      </c>
      <c r="G449" s="1775" t="s">
        <v>3146</v>
      </c>
      <c r="H449" s="1775" t="s">
        <v>28</v>
      </c>
      <c r="I449" s="1775" t="s">
        <v>1633</v>
      </c>
    </row>
    <row r="450" spans="1:9" ht="11.25" customHeight="1">
      <c r="A450" s="1775" t="s">
        <v>2259</v>
      </c>
      <c r="B450" s="1775" t="s">
        <v>16</v>
      </c>
      <c r="C450" s="1775" t="s">
        <v>28</v>
      </c>
      <c r="D450" s="1775" t="s">
        <v>2352</v>
      </c>
      <c r="E450" s="1775" t="s">
        <v>2353</v>
      </c>
      <c r="F450" s="1775" t="s">
        <v>2289</v>
      </c>
      <c r="G450" s="1775" t="s">
        <v>28</v>
      </c>
      <c r="H450" s="1775" t="s">
        <v>28</v>
      </c>
      <c r="I450" s="1775" t="s">
        <v>1633</v>
      </c>
    </row>
    <row r="451" spans="1:9" ht="11.25" customHeight="1">
      <c r="A451" s="1775" t="s">
        <v>2259</v>
      </c>
      <c r="B451" s="1775" t="s">
        <v>16</v>
      </c>
      <c r="C451" s="1775" t="s">
        <v>2440</v>
      </c>
      <c r="D451" s="1775" t="s">
        <v>2441</v>
      </c>
      <c r="E451" s="1775" t="s">
        <v>2442</v>
      </c>
      <c r="F451" s="1775" t="s">
        <v>2296</v>
      </c>
      <c r="G451" s="1775" t="s">
        <v>28</v>
      </c>
      <c r="H451" s="1775" t="s">
        <v>2443</v>
      </c>
      <c r="I451" s="1775" t="s">
        <v>1633</v>
      </c>
    </row>
    <row r="452" spans="1:9" ht="11.25" customHeight="1">
      <c r="A452" s="1775" t="s">
        <v>2259</v>
      </c>
      <c r="B452" s="1775" t="s">
        <v>16</v>
      </c>
      <c r="C452" s="1775" t="s">
        <v>3147</v>
      </c>
      <c r="D452" s="1775" t="s">
        <v>3148</v>
      </c>
      <c r="E452" s="1775" t="s">
        <v>3149</v>
      </c>
      <c r="F452" s="1775" t="s">
        <v>2720</v>
      </c>
      <c r="G452" s="1775" t="s">
        <v>28</v>
      </c>
      <c r="H452" s="1775" t="s">
        <v>3146</v>
      </c>
      <c r="I452" s="1775" t="s">
        <v>1633</v>
      </c>
    </row>
    <row r="453" spans="1:9" ht="11.25" customHeight="1">
      <c r="A453" s="1775" t="s">
        <v>2259</v>
      </c>
      <c r="B453" s="1775" t="s">
        <v>16</v>
      </c>
      <c r="C453" s="1775" t="s">
        <v>3150</v>
      </c>
      <c r="D453" s="1775" t="s">
        <v>3151</v>
      </c>
      <c r="E453" s="1775" t="s">
        <v>3152</v>
      </c>
      <c r="F453" s="1775" t="s">
        <v>2388</v>
      </c>
      <c r="G453" s="1775" t="s">
        <v>28</v>
      </c>
      <c r="H453" s="1775" t="s">
        <v>28</v>
      </c>
      <c r="I453" s="1775" t="s">
        <v>1633</v>
      </c>
    </row>
    <row r="454" spans="1:9" ht="11.25" customHeight="1">
      <c r="A454" s="1775" t="s">
        <v>2259</v>
      </c>
      <c r="B454" s="1775" t="s">
        <v>16</v>
      </c>
      <c r="C454" s="1775" t="s">
        <v>2954</v>
      </c>
      <c r="D454" s="1775" t="s">
        <v>2955</v>
      </c>
      <c r="E454" s="1775" t="s">
        <v>2956</v>
      </c>
      <c r="F454" s="1775" t="s">
        <v>2556</v>
      </c>
      <c r="G454" s="1775" t="s">
        <v>28</v>
      </c>
      <c r="H454" s="1775" t="s">
        <v>28</v>
      </c>
      <c r="I454" s="1775" t="s">
        <v>1633</v>
      </c>
    </row>
    <row r="455" spans="1:9" ht="11.25" customHeight="1">
      <c r="A455" s="1775" t="s">
        <v>2259</v>
      </c>
      <c r="B455" s="1775" t="s">
        <v>16</v>
      </c>
      <c r="C455" s="1775" t="s">
        <v>3153</v>
      </c>
      <c r="D455" s="1775" t="s">
        <v>3154</v>
      </c>
      <c r="E455" s="1775" t="s">
        <v>3155</v>
      </c>
      <c r="F455" s="1775" t="s">
        <v>2475</v>
      </c>
      <c r="G455" s="1775" t="s">
        <v>28</v>
      </c>
      <c r="H455" s="1775" t="s">
        <v>28</v>
      </c>
      <c r="I455" s="1775" t="s">
        <v>1633</v>
      </c>
    </row>
    <row r="456" spans="1:9" ht="11.25" customHeight="1">
      <c r="A456" s="1775" t="s">
        <v>2259</v>
      </c>
      <c r="B456" s="1775" t="s">
        <v>16</v>
      </c>
      <c r="C456" s="1775" t="s">
        <v>3156</v>
      </c>
      <c r="D456" s="1775" t="s">
        <v>3157</v>
      </c>
      <c r="E456" s="1775" t="s">
        <v>3158</v>
      </c>
      <c r="F456" s="1775" t="s">
        <v>2375</v>
      </c>
      <c r="G456" s="1775" t="s">
        <v>28</v>
      </c>
      <c r="H456" s="1775" t="s">
        <v>28</v>
      </c>
      <c r="I456" s="1775" t="s">
        <v>1633</v>
      </c>
    </row>
    <row r="457" spans="1:9" ht="11.25" customHeight="1">
      <c r="A457" s="1775" t="s">
        <v>2259</v>
      </c>
      <c r="B457" s="1775" t="s">
        <v>16</v>
      </c>
      <c r="C457" s="1775" t="s">
        <v>3159</v>
      </c>
      <c r="D457" s="1775" t="s">
        <v>3160</v>
      </c>
      <c r="E457" s="1775" t="s">
        <v>3161</v>
      </c>
      <c r="F457" s="1775" t="s">
        <v>2296</v>
      </c>
      <c r="G457" s="1775" t="s">
        <v>28</v>
      </c>
      <c r="H457" s="1775" t="s">
        <v>28</v>
      </c>
      <c r="I457" s="1775" t="s">
        <v>1633</v>
      </c>
    </row>
    <row r="458" spans="1:9" ht="11.25" customHeight="1">
      <c r="A458" s="1775" t="s">
        <v>2259</v>
      </c>
      <c r="B458" s="1775" t="s">
        <v>16</v>
      </c>
      <c r="C458" s="1775" t="s">
        <v>3162</v>
      </c>
      <c r="D458" s="1775" t="s">
        <v>3163</v>
      </c>
      <c r="E458" s="1775" t="s">
        <v>3164</v>
      </c>
      <c r="F458" s="1775" t="s">
        <v>2270</v>
      </c>
      <c r="G458" s="1775" t="s">
        <v>3165</v>
      </c>
      <c r="H458" s="1775" t="s">
        <v>28</v>
      </c>
      <c r="I458" s="1775" t="s">
        <v>1633</v>
      </c>
    </row>
    <row r="459" spans="1:9" ht="11.25" customHeight="1">
      <c r="A459" s="1775" t="s">
        <v>2259</v>
      </c>
      <c r="B459" s="1775" t="s">
        <v>16</v>
      </c>
      <c r="C459" s="1775" t="s">
        <v>2521</v>
      </c>
      <c r="D459" s="1775" t="s">
        <v>2522</v>
      </c>
      <c r="E459" s="1775" t="s">
        <v>2523</v>
      </c>
      <c r="F459" s="1775" t="s">
        <v>2347</v>
      </c>
      <c r="G459" s="1775" t="s">
        <v>28</v>
      </c>
      <c r="H459" s="1775" t="s">
        <v>28</v>
      </c>
      <c r="I459" s="1775" t="s">
        <v>1633</v>
      </c>
    </row>
    <row r="460" spans="1:9" ht="11.25" customHeight="1">
      <c r="A460" s="1775" t="s">
        <v>2259</v>
      </c>
      <c r="B460" s="1775" t="s">
        <v>16</v>
      </c>
      <c r="C460" s="1775" t="s">
        <v>3166</v>
      </c>
      <c r="D460" s="1775" t="s">
        <v>3167</v>
      </c>
      <c r="E460" s="1775" t="s">
        <v>3168</v>
      </c>
      <c r="F460" s="1775" t="s">
        <v>2714</v>
      </c>
      <c r="G460" s="1775" t="s">
        <v>28</v>
      </c>
      <c r="H460" s="1775" t="s">
        <v>28</v>
      </c>
      <c r="I460" s="1775" t="s">
        <v>1633</v>
      </c>
    </row>
    <row r="461" spans="1:9" ht="11.25" customHeight="1">
      <c r="A461" s="1775" t="s">
        <v>2259</v>
      </c>
      <c r="B461" s="1775" t="s">
        <v>16</v>
      </c>
      <c r="C461" s="1775" t="s">
        <v>3137</v>
      </c>
      <c r="D461" s="1775" t="s">
        <v>3138</v>
      </c>
      <c r="E461" s="1775" t="s">
        <v>3139</v>
      </c>
      <c r="F461" s="1775" t="s">
        <v>2412</v>
      </c>
      <c r="G461" s="1775" t="s">
        <v>28</v>
      </c>
      <c r="H461" s="1775" t="s">
        <v>28</v>
      </c>
      <c r="I461" s="1775" t="s">
        <v>1633</v>
      </c>
    </row>
    <row r="462" spans="1:9" ht="11.25" customHeight="1">
      <c r="A462" s="1775" t="s">
        <v>2259</v>
      </c>
      <c r="B462" s="1775" t="s">
        <v>16</v>
      </c>
      <c r="C462" s="1775" t="s">
        <v>3169</v>
      </c>
      <c r="D462" s="1775" t="s">
        <v>3170</v>
      </c>
      <c r="E462" s="1775" t="s">
        <v>3171</v>
      </c>
      <c r="F462" s="1775" t="s">
        <v>2289</v>
      </c>
      <c r="G462" s="1775" t="s">
        <v>3172</v>
      </c>
      <c r="H462" s="1775" t="s">
        <v>28</v>
      </c>
      <c r="I462" s="1775" t="s">
        <v>1633</v>
      </c>
    </row>
    <row r="463" spans="1:9" ht="11.25" customHeight="1">
      <c r="A463" s="1775" t="s">
        <v>2259</v>
      </c>
      <c r="B463" s="1775" t="s">
        <v>16</v>
      </c>
      <c r="C463" s="1775" t="s">
        <v>3173</v>
      </c>
      <c r="D463" s="1775" t="s">
        <v>3174</v>
      </c>
      <c r="E463" s="1775" t="s">
        <v>3175</v>
      </c>
      <c r="F463" s="1775" t="s">
        <v>2296</v>
      </c>
      <c r="G463" s="1775" t="s">
        <v>28</v>
      </c>
      <c r="H463" s="1775" t="s">
        <v>28</v>
      </c>
      <c r="I463" s="1775" t="s">
        <v>1633</v>
      </c>
    </row>
    <row r="464" spans="1:9" ht="11.25" customHeight="1">
      <c r="A464" s="1775" t="s">
        <v>2259</v>
      </c>
      <c r="B464" s="1775" t="s">
        <v>16</v>
      </c>
      <c r="C464" s="1775" t="s">
        <v>3176</v>
      </c>
      <c r="D464" s="1775" t="s">
        <v>3177</v>
      </c>
      <c r="E464" s="1775" t="s">
        <v>3178</v>
      </c>
      <c r="F464" s="1775" t="s">
        <v>2296</v>
      </c>
      <c r="G464" s="1775" t="s">
        <v>28</v>
      </c>
      <c r="H464" s="1775" t="s">
        <v>28</v>
      </c>
      <c r="I464" s="1775" t="s">
        <v>1633</v>
      </c>
    </row>
    <row r="465" spans="1:9" ht="11.25" customHeight="1">
      <c r="A465" s="1775" t="s">
        <v>2259</v>
      </c>
      <c r="B465" s="1775" t="s">
        <v>16</v>
      </c>
      <c r="C465" s="1775" t="s">
        <v>3179</v>
      </c>
      <c r="D465" s="1775" t="s">
        <v>3180</v>
      </c>
      <c r="E465" s="1775" t="s">
        <v>3181</v>
      </c>
      <c r="F465" s="1775" t="s">
        <v>2384</v>
      </c>
      <c r="G465" s="1775" t="s">
        <v>28</v>
      </c>
      <c r="H465" s="1775" t="s">
        <v>28</v>
      </c>
      <c r="I465" s="1775" t="s">
        <v>1633</v>
      </c>
    </row>
    <row r="466" spans="1:9" ht="11.25" customHeight="1">
      <c r="A466" s="1775" t="s">
        <v>2259</v>
      </c>
      <c r="B466" s="1775" t="s">
        <v>16</v>
      </c>
      <c r="C466" s="1775" t="s">
        <v>3182</v>
      </c>
      <c r="D466" s="1775" t="s">
        <v>3183</v>
      </c>
      <c r="E466" s="1775" t="s">
        <v>3184</v>
      </c>
      <c r="F466" s="1775" t="s">
        <v>2421</v>
      </c>
      <c r="G466" s="1775" t="s">
        <v>28</v>
      </c>
      <c r="H466" s="1775" t="s">
        <v>28</v>
      </c>
      <c r="I466" s="1775" t="s">
        <v>1633</v>
      </c>
    </row>
    <row r="467" spans="1:9" ht="11.25" customHeight="1">
      <c r="A467" s="1775" t="s">
        <v>2259</v>
      </c>
      <c r="B467" s="1775" t="s">
        <v>16</v>
      </c>
      <c r="C467" s="1775" t="s">
        <v>3185</v>
      </c>
      <c r="D467" s="1775" t="s">
        <v>3186</v>
      </c>
      <c r="E467" s="1775" t="s">
        <v>3187</v>
      </c>
      <c r="F467" s="1775" t="s">
        <v>2296</v>
      </c>
      <c r="G467" s="1775" t="s">
        <v>28</v>
      </c>
      <c r="H467" s="1775" t="s">
        <v>28</v>
      </c>
      <c r="I467" s="1775" t="s">
        <v>1633</v>
      </c>
    </row>
    <row r="468" spans="1:9" ht="11.25" customHeight="1">
      <c r="A468" s="1775" t="s">
        <v>2259</v>
      </c>
      <c r="B468" s="1775" t="s">
        <v>16</v>
      </c>
      <c r="C468" s="1775" t="s">
        <v>3188</v>
      </c>
      <c r="D468" s="1775" t="s">
        <v>3189</v>
      </c>
      <c r="E468" s="1775" t="s">
        <v>3190</v>
      </c>
      <c r="F468" s="1775" t="s">
        <v>3191</v>
      </c>
      <c r="G468" s="1775" t="s">
        <v>28</v>
      </c>
      <c r="H468" s="1775" t="s">
        <v>28</v>
      </c>
      <c r="I468" s="1775" t="s">
        <v>1633</v>
      </c>
    </row>
    <row r="469" spans="1:9" ht="11.25" customHeight="1">
      <c r="A469" s="1775" t="s">
        <v>2259</v>
      </c>
      <c r="B469" s="1775" t="s">
        <v>16</v>
      </c>
      <c r="C469" s="1775" t="s">
        <v>28</v>
      </c>
      <c r="D469" s="1775" t="s">
        <v>2623</v>
      </c>
      <c r="E469" s="1775" t="s">
        <v>2624</v>
      </c>
      <c r="F469" s="1775" t="s">
        <v>2270</v>
      </c>
      <c r="G469" s="1775" t="s">
        <v>28</v>
      </c>
      <c r="H469" s="1775" t="s">
        <v>28</v>
      </c>
      <c r="I469" s="1775" t="s">
        <v>1633</v>
      </c>
    </row>
    <row r="470" spans="1:9" ht="11.25" customHeight="1">
      <c r="A470" s="1775" t="s">
        <v>2259</v>
      </c>
      <c r="B470" s="1775" t="s">
        <v>16</v>
      </c>
      <c r="C470" s="1775" t="s">
        <v>3192</v>
      </c>
      <c r="D470" s="1775" t="s">
        <v>3193</v>
      </c>
      <c r="E470" s="1775" t="s">
        <v>3190</v>
      </c>
      <c r="F470" s="1775" t="s">
        <v>3194</v>
      </c>
      <c r="G470" s="1775" t="s">
        <v>28</v>
      </c>
      <c r="H470" s="1775" t="s">
        <v>28</v>
      </c>
      <c r="I470" s="1775"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9"/>
  <sheetViews>
    <sheetView showGridLines="0" workbookViewId="0"/>
  </sheetViews>
  <sheetFormatPr defaultRowHeight="11.25" customHeight="1"/>
  <cols>
    <col min="1" max="1" width="9.140625" style="1775"/>
  </cols>
  <sheetData>
    <row r="1" spans="1:7" ht="11.25" customHeight="1">
      <c r="A1" s="310" t="s">
        <v>3195</v>
      </c>
      <c r="B1" s="4" t="s">
        <v>3196</v>
      </c>
      <c r="C1" s="4" t="s">
        <v>3197</v>
      </c>
      <c r="D1" s="4" t="s">
        <v>3198</v>
      </c>
      <c r="E1" s="2" t="s">
        <v>3199</v>
      </c>
      <c r="F1" s="2" t="s">
        <v>3200</v>
      </c>
      <c r="G1" s="2" t="s">
        <v>3201</v>
      </c>
    </row>
    <row r="2" spans="1:7" ht="11.25" customHeight="1">
      <c r="A2" s="310" t="s">
        <v>16</v>
      </c>
      <c r="B2" t="s">
        <v>3202</v>
      </c>
      <c r="C2" t="s">
        <v>3203</v>
      </c>
      <c r="D2" t="s">
        <v>3204</v>
      </c>
      <c r="E2" t="s">
        <v>3205</v>
      </c>
      <c r="F2" t="s">
        <v>3206</v>
      </c>
      <c r="G2" t="s">
        <v>110</v>
      </c>
    </row>
    <row r="3" spans="1:7" ht="11.25" customHeight="1">
      <c r="A3" s="310" t="s">
        <v>16</v>
      </c>
      <c r="B3" t="s">
        <v>3202</v>
      </c>
      <c r="C3" t="s">
        <v>3203</v>
      </c>
      <c r="D3" t="s">
        <v>3202</v>
      </c>
      <c r="E3" t="s">
        <v>3203</v>
      </c>
      <c r="F3" t="s">
        <v>3207</v>
      </c>
      <c r="G3" t="s">
        <v>111</v>
      </c>
    </row>
    <row r="4" spans="1:7" ht="11.25" customHeight="1">
      <c r="A4" s="310" t="s">
        <v>16</v>
      </c>
      <c r="B4" t="s">
        <v>3202</v>
      </c>
      <c r="C4" t="s">
        <v>3203</v>
      </c>
      <c r="D4" t="s">
        <v>3208</v>
      </c>
      <c r="E4" t="s">
        <v>3209</v>
      </c>
      <c r="F4" t="s">
        <v>3206</v>
      </c>
      <c r="G4" t="s">
        <v>90</v>
      </c>
    </row>
    <row r="5" spans="1:7" ht="11.25" customHeight="1">
      <c r="A5" s="310" t="s">
        <v>16</v>
      </c>
      <c r="B5" t="s">
        <v>3202</v>
      </c>
      <c r="C5" t="s">
        <v>3203</v>
      </c>
      <c r="D5" t="s">
        <v>3210</v>
      </c>
      <c r="E5" t="s">
        <v>3211</v>
      </c>
      <c r="F5" t="s">
        <v>3206</v>
      </c>
      <c r="G5" t="s">
        <v>91</v>
      </c>
    </row>
    <row r="6" spans="1:7" ht="11.25" customHeight="1">
      <c r="A6" s="310" t="s">
        <v>16</v>
      </c>
      <c r="B6" t="s">
        <v>3202</v>
      </c>
      <c r="C6" t="s">
        <v>3203</v>
      </c>
      <c r="D6" t="s">
        <v>3212</v>
      </c>
      <c r="E6" t="s">
        <v>3213</v>
      </c>
      <c r="F6" t="s">
        <v>3206</v>
      </c>
      <c r="G6" t="s">
        <v>112</v>
      </c>
    </row>
    <row r="7" spans="1:7" ht="11.25" customHeight="1">
      <c r="A7" s="310" t="s">
        <v>16</v>
      </c>
      <c r="B7" t="s">
        <v>3202</v>
      </c>
      <c r="C7" t="s">
        <v>3203</v>
      </c>
      <c r="D7" t="s">
        <v>3214</v>
      </c>
      <c r="E7" t="s">
        <v>3215</v>
      </c>
      <c r="F7" t="s">
        <v>3206</v>
      </c>
      <c r="G7" t="s">
        <v>92</v>
      </c>
    </row>
    <row r="8" spans="1:7" ht="11.25" customHeight="1">
      <c r="A8" s="310" t="s">
        <v>16</v>
      </c>
      <c r="B8" t="s">
        <v>3202</v>
      </c>
      <c r="C8" t="s">
        <v>3203</v>
      </c>
      <c r="D8" t="s">
        <v>3216</v>
      </c>
      <c r="E8" t="s">
        <v>3217</v>
      </c>
      <c r="F8" t="s">
        <v>3206</v>
      </c>
      <c r="G8" t="s">
        <v>93</v>
      </c>
    </row>
    <row r="9" spans="1:7" ht="11.25" customHeight="1">
      <c r="A9" s="310" t="s">
        <v>16</v>
      </c>
      <c r="B9" t="s">
        <v>3202</v>
      </c>
      <c r="C9" t="s">
        <v>3203</v>
      </c>
      <c r="D9" t="s">
        <v>3218</v>
      </c>
      <c r="E9" t="s">
        <v>3219</v>
      </c>
      <c r="F9" t="s">
        <v>3206</v>
      </c>
      <c r="G9" t="s">
        <v>113</v>
      </c>
    </row>
    <row r="10" spans="1:7" ht="11.25" customHeight="1">
      <c r="A10" s="310" t="s">
        <v>16</v>
      </c>
      <c r="B10" t="s">
        <v>3202</v>
      </c>
      <c r="C10" t="s">
        <v>3203</v>
      </c>
      <c r="D10" t="s">
        <v>3220</v>
      </c>
      <c r="E10" t="s">
        <v>3221</v>
      </c>
      <c r="F10" t="s">
        <v>3222</v>
      </c>
      <c r="G10" t="s">
        <v>149</v>
      </c>
    </row>
    <row r="11" spans="1:7" ht="11.25" customHeight="1">
      <c r="A11" s="310" t="s">
        <v>16</v>
      </c>
      <c r="B11" t="s">
        <v>3202</v>
      </c>
      <c r="C11" t="s">
        <v>3203</v>
      </c>
      <c r="D11" t="s">
        <v>3223</v>
      </c>
      <c r="E11" t="s">
        <v>3224</v>
      </c>
      <c r="F11" t="s">
        <v>3206</v>
      </c>
      <c r="G11" t="s">
        <v>150</v>
      </c>
    </row>
    <row r="12" spans="1:7" ht="11.25" customHeight="1">
      <c r="A12" s="310" t="s">
        <v>16</v>
      </c>
      <c r="B12" t="s">
        <v>3202</v>
      </c>
      <c r="C12" t="s">
        <v>3203</v>
      </c>
      <c r="D12" t="s">
        <v>3225</v>
      </c>
      <c r="E12" t="s">
        <v>3226</v>
      </c>
      <c r="F12" t="s">
        <v>3206</v>
      </c>
      <c r="G12" t="s">
        <v>151</v>
      </c>
    </row>
    <row r="13" spans="1:7" ht="11.25" customHeight="1">
      <c r="A13" s="310" t="s">
        <v>16</v>
      </c>
      <c r="B13" t="s">
        <v>3202</v>
      </c>
      <c r="C13" t="s">
        <v>3203</v>
      </c>
      <c r="D13" t="s">
        <v>3227</v>
      </c>
      <c r="E13" t="s">
        <v>3228</v>
      </c>
      <c r="F13" t="s">
        <v>3206</v>
      </c>
      <c r="G13" t="s">
        <v>152</v>
      </c>
    </row>
    <row r="14" spans="1:7" ht="11.25" customHeight="1">
      <c r="A14" s="310" t="s">
        <v>16</v>
      </c>
      <c r="B14" t="s">
        <v>3229</v>
      </c>
      <c r="C14" t="s">
        <v>3230</v>
      </c>
      <c r="D14" t="s">
        <v>3229</v>
      </c>
      <c r="E14" t="s">
        <v>3230</v>
      </c>
      <c r="F14" t="s">
        <v>3207</v>
      </c>
      <c r="G14" t="s">
        <v>153</v>
      </c>
    </row>
    <row r="15" spans="1:7" ht="11.25" customHeight="1">
      <c r="A15" s="310" t="s">
        <v>16</v>
      </c>
      <c r="B15" t="s">
        <v>3229</v>
      </c>
      <c r="C15" t="s">
        <v>3230</v>
      </c>
      <c r="D15" t="s">
        <v>3231</v>
      </c>
      <c r="E15" t="s">
        <v>3232</v>
      </c>
      <c r="F15" t="s">
        <v>3206</v>
      </c>
      <c r="G15" t="s">
        <v>154</v>
      </c>
    </row>
    <row r="16" spans="1:7" ht="11.25" customHeight="1">
      <c r="A16" s="310" t="s">
        <v>16</v>
      </c>
      <c r="B16" t="s">
        <v>3229</v>
      </c>
      <c r="C16" t="s">
        <v>3230</v>
      </c>
      <c r="D16" t="s">
        <v>3233</v>
      </c>
      <c r="E16" t="s">
        <v>3234</v>
      </c>
      <c r="F16" t="s">
        <v>3206</v>
      </c>
      <c r="G16" t="s">
        <v>1476</v>
      </c>
    </row>
    <row r="17" spans="1:7" ht="11.25" customHeight="1">
      <c r="A17" s="310" t="s">
        <v>16</v>
      </c>
      <c r="B17" t="s">
        <v>3229</v>
      </c>
      <c r="C17" t="s">
        <v>3230</v>
      </c>
      <c r="D17" t="s">
        <v>3235</v>
      </c>
      <c r="E17" t="s">
        <v>3236</v>
      </c>
      <c r="F17" t="s">
        <v>3206</v>
      </c>
      <c r="G17" t="s">
        <v>1482</v>
      </c>
    </row>
    <row r="18" spans="1:7" ht="11.25" customHeight="1">
      <c r="A18" s="310" t="s">
        <v>16</v>
      </c>
      <c r="B18" t="s">
        <v>3229</v>
      </c>
      <c r="C18" t="s">
        <v>3230</v>
      </c>
      <c r="D18" t="s">
        <v>3237</v>
      </c>
      <c r="E18" t="s">
        <v>3238</v>
      </c>
      <c r="F18" t="s">
        <v>3206</v>
      </c>
      <c r="G18" t="s">
        <v>1494</v>
      </c>
    </row>
    <row r="19" spans="1:7" ht="11.25" customHeight="1">
      <c r="A19" s="310" t="s">
        <v>16</v>
      </c>
      <c r="B19" t="s">
        <v>3229</v>
      </c>
      <c r="C19" t="s">
        <v>3230</v>
      </c>
      <c r="D19" t="s">
        <v>3239</v>
      </c>
      <c r="E19" t="s">
        <v>3240</v>
      </c>
      <c r="F19" t="s">
        <v>3206</v>
      </c>
      <c r="G19" t="s">
        <v>1508</v>
      </c>
    </row>
    <row r="20" spans="1:7" ht="11.25" customHeight="1">
      <c r="A20" s="310" t="s">
        <v>16</v>
      </c>
      <c r="B20" t="s">
        <v>3229</v>
      </c>
      <c r="C20" t="s">
        <v>3230</v>
      </c>
      <c r="D20" t="s">
        <v>3241</v>
      </c>
      <c r="E20" t="s">
        <v>3242</v>
      </c>
      <c r="F20" t="s">
        <v>3222</v>
      </c>
      <c r="G20" t="s">
        <v>1520</v>
      </c>
    </row>
    <row r="21" spans="1:7" ht="11.25" customHeight="1">
      <c r="A21" s="310" t="s">
        <v>16</v>
      </c>
      <c r="B21" t="s">
        <v>3229</v>
      </c>
      <c r="C21" t="s">
        <v>3230</v>
      </c>
      <c r="D21" t="s">
        <v>3243</v>
      </c>
      <c r="E21" t="s">
        <v>3244</v>
      </c>
      <c r="F21" t="s">
        <v>3206</v>
      </c>
      <c r="G21" t="s">
        <v>1529</v>
      </c>
    </row>
    <row r="22" spans="1:7" ht="11.25" customHeight="1">
      <c r="A22" s="310" t="s">
        <v>16</v>
      </c>
      <c r="B22" t="s">
        <v>3229</v>
      </c>
      <c r="C22" t="s">
        <v>3230</v>
      </c>
      <c r="D22" t="s">
        <v>3245</v>
      </c>
      <c r="E22" t="s">
        <v>3246</v>
      </c>
      <c r="F22" t="s">
        <v>3206</v>
      </c>
      <c r="G22" t="s">
        <v>1545</v>
      </c>
    </row>
    <row r="23" spans="1:7" ht="11.25" customHeight="1">
      <c r="A23" s="310" t="s">
        <v>16</v>
      </c>
      <c r="B23" t="s">
        <v>3229</v>
      </c>
      <c r="C23" t="s">
        <v>3230</v>
      </c>
      <c r="D23" t="s">
        <v>3247</v>
      </c>
      <c r="E23" t="s">
        <v>3248</v>
      </c>
      <c r="F23" t="s">
        <v>3206</v>
      </c>
      <c r="G23" t="s">
        <v>1552</v>
      </c>
    </row>
    <row r="24" spans="1:7" ht="11.25" customHeight="1">
      <c r="A24" s="310" t="s">
        <v>16</v>
      </c>
      <c r="B24" t="s">
        <v>3249</v>
      </c>
      <c r="C24" t="s">
        <v>3250</v>
      </c>
      <c r="D24" t="s">
        <v>3251</v>
      </c>
      <c r="E24" t="s">
        <v>3252</v>
      </c>
      <c r="F24" t="s">
        <v>3206</v>
      </c>
      <c r="G24" t="s">
        <v>1560</v>
      </c>
    </row>
    <row r="25" spans="1:7" ht="11.25" customHeight="1">
      <c r="A25" s="310" t="s">
        <v>16</v>
      </c>
      <c r="B25" t="s">
        <v>3249</v>
      </c>
      <c r="C25" t="s">
        <v>3250</v>
      </c>
      <c r="D25" t="s">
        <v>3249</v>
      </c>
      <c r="E25" t="s">
        <v>3250</v>
      </c>
      <c r="F25" t="s">
        <v>3207</v>
      </c>
      <c r="G25" t="s">
        <v>1567</v>
      </c>
    </row>
    <row r="26" spans="1:7" ht="11.25" customHeight="1">
      <c r="A26" s="310" t="s">
        <v>16</v>
      </c>
      <c r="B26" t="s">
        <v>3249</v>
      </c>
      <c r="C26" t="s">
        <v>3250</v>
      </c>
      <c r="D26" t="s">
        <v>3253</v>
      </c>
      <c r="E26" t="s">
        <v>3254</v>
      </c>
      <c r="F26" t="s">
        <v>3206</v>
      </c>
      <c r="G26" t="s">
        <v>1571</v>
      </c>
    </row>
    <row r="27" spans="1:7" ht="11.25" customHeight="1">
      <c r="A27" s="310" t="s">
        <v>16</v>
      </c>
      <c r="B27" t="s">
        <v>3249</v>
      </c>
      <c r="C27" t="s">
        <v>3250</v>
      </c>
      <c r="D27" t="s">
        <v>3255</v>
      </c>
      <c r="E27" t="s">
        <v>3256</v>
      </c>
      <c r="F27" t="s">
        <v>3257</v>
      </c>
      <c r="G27" t="s">
        <v>1576</v>
      </c>
    </row>
    <row r="28" spans="1:7" ht="11.25" customHeight="1">
      <c r="A28" s="310" t="s">
        <v>16</v>
      </c>
      <c r="B28" t="s">
        <v>3249</v>
      </c>
      <c r="C28" t="s">
        <v>3250</v>
      </c>
      <c r="D28" t="s">
        <v>3258</v>
      </c>
      <c r="E28" t="s">
        <v>3259</v>
      </c>
      <c r="F28" t="s">
        <v>3206</v>
      </c>
      <c r="G28" t="s">
        <v>1584</v>
      </c>
    </row>
    <row r="29" spans="1:7" ht="11.25" customHeight="1">
      <c r="A29" s="310" t="s">
        <v>16</v>
      </c>
      <c r="B29" t="s">
        <v>3249</v>
      </c>
      <c r="C29" t="s">
        <v>3250</v>
      </c>
      <c r="D29" t="s">
        <v>3260</v>
      </c>
      <c r="E29" t="s">
        <v>3261</v>
      </c>
      <c r="F29" t="s">
        <v>3206</v>
      </c>
      <c r="G29" t="s">
        <v>1586</v>
      </c>
    </row>
    <row r="30" spans="1:7" ht="11.25" customHeight="1">
      <c r="A30" s="310" t="s">
        <v>16</v>
      </c>
      <c r="B30" t="s">
        <v>3249</v>
      </c>
      <c r="C30" t="s">
        <v>3250</v>
      </c>
      <c r="D30" t="s">
        <v>3262</v>
      </c>
      <c r="E30" t="s">
        <v>3263</v>
      </c>
      <c r="F30" t="s">
        <v>3206</v>
      </c>
      <c r="G30" t="s">
        <v>1589</v>
      </c>
    </row>
    <row r="31" spans="1:7" ht="11.25" customHeight="1">
      <c r="A31" s="310" t="s">
        <v>16</v>
      </c>
      <c r="B31" t="s">
        <v>3249</v>
      </c>
      <c r="C31" t="s">
        <v>3250</v>
      </c>
      <c r="D31" t="s">
        <v>3264</v>
      </c>
      <c r="E31" t="s">
        <v>3265</v>
      </c>
      <c r="F31" t="s">
        <v>3206</v>
      </c>
      <c r="G31" t="s">
        <v>1595</v>
      </c>
    </row>
    <row r="32" spans="1:7" ht="11.25" customHeight="1">
      <c r="A32" s="310" t="s">
        <v>16</v>
      </c>
      <c r="B32" t="s">
        <v>3249</v>
      </c>
      <c r="C32" t="s">
        <v>3250</v>
      </c>
      <c r="D32" t="s">
        <v>3266</v>
      </c>
      <c r="E32" t="s">
        <v>3267</v>
      </c>
      <c r="F32" t="s">
        <v>3206</v>
      </c>
      <c r="G32" t="s">
        <v>1597</v>
      </c>
    </row>
    <row r="33" spans="1:7" ht="11.25" customHeight="1">
      <c r="A33" s="310" t="s">
        <v>16</v>
      </c>
      <c r="B33" t="s">
        <v>3249</v>
      </c>
      <c r="C33" t="s">
        <v>3250</v>
      </c>
      <c r="D33" t="s">
        <v>3268</v>
      </c>
      <c r="E33" t="s">
        <v>3269</v>
      </c>
      <c r="F33" t="s">
        <v>3206</v>
      </c>
      <c r="G33" t="s">
        <v>1599</v>
      </c>
    </row>
    <row r="34" spans="1:7" ht="11.25" customHeight="1">
      <c r="A34" s="310" t="s">
        <v>16</v>
      </c>
      <c r="B34" t="s">
        <v>3249</v>
      </c>
      <c r="C34" t="s">
        <v>3250</v>
      </c>
      <c r="D34" t="s">
        <v>3270</v>
      </c>
      <c r="E34" t="s">
        <v>3271</v>
      </c>
      <c r="F34" t="s">
        <v>3206</v>
      </c>
      <c r="G34" t="s">
        <v>1601</v>
      </c>
    </row>
    <row r="35" spans="1:7" ht="11.25" customHeight="1">
      <c r="A35" s="310" t="s">
        <v>16</v>
      </c>
      <c r="B35" t="s">
        <v>3249</v>
      </c>
      <c r="C35" t="s">
        <v>3250</v>
      </c>
      <c r="D35" t="s">
        <v>3272</v>
      </c>
      <c r="E35" t="s">
        <v>3273</v>
      </c>
      <c r="F35" t="s">
        <v>3206</v>
      </c>
      <c r="G35" t="s">
        <v>1606</v>
      </c>
    </row>
    <row r="36" spans="1:7" ht="11.25" customHeight="1">
      <c r="A36" s="310" t="s">
        <v>16</v>
      </c>
      <c r="B36" t="s">
        <v>3274</v>
      </c>
      <c r="C36" t="s">
        <v>3275</v>
      </c>
      <c r="D36" t="s">
        <v>3276</v>
      </c>
      <c r="E36" t="s">
        <v>3277</v>
      </c>
      <c r="F36" t="s">
        <v>3206</v>
      </c>
      <c r="G36" t="s">
        <v>1611</v>
      </c>
    </row>
    <row r="37" spans="1:7" ht="11.25" customHeight="1">
      <c r="A37" s="310" t="s">
        <v>16</v>
      </c>
      <c r="B37" t="s">
        <v>3274</v>
      </c>
      <c r="C37" t="s">
        <v>3275</v>
      </c>
      <c r="D37" t="s">
        <v>3274</v>
      </c>
      <c r="E37" t="s">
        <v>3275</v>
      </c>
      <c r="F37" t="s">
        <v>3207</v>
      </c>
      <c r="G37" t="s">
        <v>1615</v>
      </c>
    </row>
    <row r="38" spans="1:7" ht="11.25" customHeight="1">
      <c r="A38" s="310" t="s">
        <v>16</v>
      </c>
      <c r="B38" t="s">
        <v>3274</v>
      </c>
      <c r="C38" t="s">
        <v>3275</v>
      </c>
      <c r="D38" t="s">
        <v>3278</v>
      </c>
      <c r="E38" t="s">
        <v>3279</v>
      </c>
      <c r="F38" t="s">
        <v>3206</v>
      </c>
      <c r="G38" t="s">
        <v>1623</v>
      </c>
    </row>
    <row r="39" spans="1:7" ht="11.25" customHeight="1">
      <c r="A39" s="310" t="s">
        <v>16</v>
      </c>
      <c r="B39" t="s">
        <v>3274</v>
      </c>
      <c r="C39" t="s">
        <v>3275</v>
      </c>
      <c r="D39" t="s">
        <v>3280</v>
      </c>
      <c r="E39" t="s">
        <v>3281</v>
      </c>
      <c r="F39" t="s">
        <v>3206</v>
      </c>
      <c r="G39" t="s">
        <v>1629</v>
      </c>
    </row>
    <row r="40" spans="1:7" ht="11.25" customHeight="1">
      <c r="A40" s="310" t="s">
        <v>16</v>
      </c>
      <c r="B40" t="s">
        <v>3274</v>
      </c>
      <c r="C40" t="s">
        <v>3275</v>
      </c>
      <c r="D40" t="s">
        <v>3282</v>
      </c>
      <c r="E40" t="s">
        <v>3283</v>
      </c>
      <c r="F40" t="s">
        <v>3206</v>
      </c>
      <c r="G40" t="s">
        <v>1634</v>
      </c>
    </row>
    <row r="41" spans="1:7" ht="11.25" customHeight="1">
      <c r="A41" s="310" t="s">
        <v>16</v>
      </c>
      <c r="B41" t="s">
        <v>3274</v>
      </c>
      <c r="C41" t="s">
        <v>3275</v>
      </c>
      <c r="D41" t="s">
        <v>3284</v>
      </c>
      <c r="E41" t="s">
        <v>3285</v>
      </c>
      <c r="F41" t="s">
        <v>3206</v>
      </c>
      <c r="G41" t="s">
        <v>1638</v>
      </c>
    </row>
    <row r="42" spans="1:7" ht="11.25" customHeight="1">
      <c r="A42" s="310" t="s">
        <v>16</v>
      </c>
      <c r="B42" t="s">
        <v>3274</v>
      </c>
      <c r="C42" t="s">
        <v>3275</v>
      </c>
      <c r="D42" t="s">
        <v>3286</v>
      </c>
      <c r="E42" t="s">
        <v>3287</v>
      </c>
      <c r="F42" t="s">
        <v>3206</v>
      </c>
      <c r="G42" t="s">
        <v>1641</v>
      </c>
    </row>
    <row r="43" spans="1:7" ht="11.25" customHeight="1">
      <c r="A43" s="310" t="s">
        <v>16</v>
      </c>
      <c r="B43" t="s">
        <v>3274</v>
      </c>
      <c r="C43" t="s">
        <v>3275</v>
      </c>
      <c r="D43" t="s">
        <v>3288</v>
      </c>
      <c r="E43" t="s">
        <v>3289</v>
      </c>
      <c r="F43" t="s">
        <v>3206</v>
      </c>
      <c r="G43" t="s">
        <v>1648</v>
      </c>
    </row>
    <row r="44" spans="1:7" ht="11.25" customHeight="1">
      <c r="A44" s="310" t="s">
        <v>16</v>
      </c>
      <c r="B44" t="s">
        <v>3274</v>
      </c>
      <c r="C44" t="s">
        <v>3275</v>
      </c>
      <c r="D44" t="s">
        <v>3245</v>
      </c>
      <c r="E44" t="s">
        <v>3290</v>
      </c>
      <c r="F44" t="s">
        <v>3206</v>
      </c>
      <c r="G44" t="s">
        <v>1657</v>
      </c>
    </row>
    <row r="45" spans="1:7" ht="11.25" customHeight="1">
      <c r="A45" s="310" t="s">
        <v>16</v>
      </c>
      <c r="B45" t="s">
        <v>3274</v>
      </c>
      <c r="C45" t="s">
        <v>3275</v>
      </c>
      <c r="D45" t="s">
        <v>3291</v>
      </c>
      <c r="E45" t="s">
        <v>3292</v>
      </c>
      <c r="F45" t="s">
        <v>3206</v>
      </c>
      <c r="G45" t="s">
        <v>1662</v>
      </c>
    </row>
    <row r="46" spans="1:7" ht="11.25" customHeight="1">
      <c r="A46" s="310" t="s">
        <v>16</v>
      </c>
      <c r="B46" t="s">
        <v>3274</v>
      </c>
      <c r="C46" t="s">
        <v>3275</v>
      </c>
      <c r="D46" t="s">
        <v>3293</v>
      </c>
      <c r="E46" t="s">
        <v>3294</v>
      </c>
      <c r="F46" t="s">
        <v>3206</v>
      </c>
      <c r="G46" t="s">
        <v>1665</v>
      </c>
    </row>
    <row r="47" spans="1:7" ht="11.25" customHeight="1">
      <c r="A47" s="310" t="s">
        <v>16</v>
      </c>
      <c r="B47" t="s">
        <v>3295</v>
      </c>
      <c r="C47" t="s">
        <v>3296</v>
      </c>
      <c r="D47" t="s">
        <v>3297</v>
      </c>
      <c r="E47" t="s">
        <v>3298</v>
      </c>
      <c r="F47" t="s">
        <v>3206</v>
      </c>
      <c r="G47" t="s">
        <v>1671</v>
      </c>
    </row>
    <row r="48" spans="1:7" ht="11.25" customHeight="1">
      <c r="A48" s="310" t="s">
        <v>16</v>
      </c>
      <c r="B48" t="s">
        <v>3295</v>
      </c>
      <c r="C48" t="s">
        <v>3296</v>
      </c>
      <c r="D48" t="s">
        <v>3295</v>
      </c>
      <c r="E48" t="s">
        <v>3296</v>
      </c>
      <c r="F48" t="s">
        <v>3207</v>
      </c>
      <c r="G48" t="s">
        <v>1676</v>
      </c>
    </row>
    <row r="49" spans="1:7" ht="11.25" customHeight="1">
      <c r="A49" s="310" t="s">
        <v>16</v>
      </c>
      <c r="B49" t="s">
        <v>3295</v>
      </c>
      <c r="C49" t="s">
        <v>3296</v>
      </c>
      <c r="D49" t="s">
        <v>3299</v>
      </c>
      <c r="E49" t="s">
        <v>3300</v>
      </c>
      <c r="F49" t="s">
        <v>3206</v>
      </c>
      <c r="G49" t="s">
        <v>1679</v>
      </c>
    </row>
    <row r="50" spans="1:7" ht="11.25" customHeight="1">
      <c r="A50" s="310" t="s">
        <v>16</v>
      </c>
      <c r="B50" t="s">
        <v>3295</v>
      </c>
      <c r="C50" t="s">
        <v>3296</v>
      </c>
      <c r="D50" t="s">
        <v>3301</v>
      </c>
      <c r="E50" t="s">
        <v>3302</v>
      </c>
      <c r="F50" t="s">
        <v>3206</v>
      </c>
      <c r="G50" t="s">
        <v>1682</v>
      </c>
    </row>
    <row r="51" spans="1:7" ht="11.25" customHeight="1">
      <c r="A51" s="310" t="s">
        <v>16</v>
      </c>
      <c r="B51" t="s">
        <v>3295</v>
      </c>
      <c r="C51" t="s">
        <v>3296</v>
      </c>
      <c r="D51" t="s">
        <v>3303</v>
      </c>
      <c r="E51" t="s">
        <v>3304</v>
      </c>
      <c r="F51" t="s">
        <v>3206</v>
      </c>
      <c r="G51" t="s">
        <v>1687</v>
      </c>
    </row>
    <row r="52" spans="1:7" ht="11.25" customHeight="1">
      <c r="A52" s="310" t="s">
        <v>16</v>
      </c>
      <c r="B52" t="s">
        <v>3295</v>
      </c>
      <c r="C52" t="s">
        <v>3296</v>
      </c>
      <c r="D52" t="s">
        <v>3305</v>
      </c>
      <c r="E52" t="s">
        <v>3306</v>
      </c>
      <c r="F52" t="s">
        <v>3206</v>
      </c>
      <c r="G52" t="s">
        <v>1691</v>
      </c>
    </row>
    <row r="53" spans="1:7" ht="11.25" customHeight="1">
      <c r="A53" s="310" t="s">
        <v>16</v>
      </c>
      <c r="B53" t="s">
        <v>3295</v>
      </c>
      <c r="C53" t="s">
        <v>3296</v>
      </c>
      <c r="D53" t="s">
        <v>3307</v>
      </c>
      <c r="E53" t="s">
        <v>3308</v>
      </c>
      <c r="F53" t="s">
        <v>3206</v>
      </c>
      <c r="G53" t="s">
        <v>1693</v>
      </c>
    </row>
    <row r="54" spans="1:7" ht="11.25" customHeight="1">
      <c r="A54" s="310" t="s">
        <v>16</v>
      </c>
      <c r="B54" t="s">
        <v>3295</v>
      </c>
      <c r="C54" t="s">
        <v>3296</v>
      </c>
      <c r="D54" t="s">
        <v>3309</v>
      </c>
      <c r="E54" t="s">
        <v>3310</v>
      </c>
      <c r="F54" t="s">
        <v>3206</v>
      </c>
      <c r="G54" t="s">
        <v>1696</v>
      </c>
    </row>
    <row r="55" spans="1:7" ht="11.25" customHeight="1">
      <c r="A55" s="310" t="s">
        <v>16</v>
      </c>
      <c r="B55" t="s">
        <v>3311</v>
      </c>
      <c r="C55" t="s">
        <v>3312</v>
      </c>
      <c r="D55" t="s">
        <v>3313</v>
      </c>
      <c r="E55" t="s">
        <v>3314</v>
      </c>
      <c r="F55" t="s">
        <v>3206</v>
      </c>
      <c r="G55" t="s">
        <v>1700</v>
      </c>
    </row>
    <row r="56" spans="1:7" ht="11.25" customHeight="1">
      <c r="A56" s="310" t="s">
        <v>16</v>
      </c>
      <c r="B56" t="s">
        <v>3311</v>
      </c>
      <c r="C56" t="s">
        <v>3312</v>
      </c>
      <c r="D56" t="s">
        <v>3315</v>
      </c>
      <c r="E56" t="s">
        <v>3316</v>
      </c>
      <c r="F56" t="s">
        <v>3206</v>
      </c>
      <c r="G56" t="s">
        <v>1703</v>
      </c>
    </row>
    <row r="57" spans="1:7" ht="11.25" customHeight="1">
      <c r="A57" s="310" t="s">
        <v>16</v>
      </c>
      <c r="B57" t="s">
        <v>3311</v>
      </c>
      <c r="C57" t="s">
        <v>3312</v>
      </c>
      <c r="D57" t="s">
        <v>3317</v>
      </c>
      <c r="E57" t="s">
        <v>3318</v>
      </c>
      <c r="F57" t="s">
        <v>3206</v>
      </c>
      <c r="G57" t="s">
        <v>1706</v>
      </c>
    </row>
    <row r="58" spans="1:7" ht="11.25" customHeight="1">
      <c r="A58" s="310" t="s">
        <v>16</v>
      </c>
      <c r="B58" t="s">
        <v>3311</v>
      </c>
      <c r="C58" t="s">
        <v>3312</v>
      </c>
      <c r="D58" t="s">
        <v>3319</v>
      </c>
      <c r="E58" t="s">
        <v>3320</v>
      </c>
      <c r="F58" t="s">
        <v>3257</v>
      </c>
      <c r="G58" t="s">
        <v>1709</v>
      </c>
    </row>
    <row r="59" spans="1:7" ht="11.25" customHeight="1">
      <c r="A59" s="310" t="s">
        <v>16</v>
      </c>
      <c r="B59" t="s">
        <v>3311</v>
      </c>
      <c r="C59" t="s">
        <v>3312</v>
      </c>
      <c r="D59" t="s">
        <v>3321</v>
      </c>
      <c r="E59" t="s">
        <v>3322</v>
      </c>
      <c r="F59" t="s">
        <v>3257</v>
      </c>
      <c r="G59" t="s">
        <v>1713</v>
      </c>
    </row>
    <row r="60" spans="1:7" ht="11.25" customHeight="1">
      <c r="A60" s="310" t="s">
        <v>16</v>
      </c>
      <c r="B60" t="s">
        <v>3311</v>
      </c>
      <c r="C60" t="s">
        <v>3312</v>
      </c>
      <c r="D60" t="s">
        <v>3311</v>
      </c>
      <c r="E60" t="s">
        <v>3312</v>
      </c>
      <c r="F60" t="s">
        <v>3207</v>
      </c>
      <c r="G60" t="s">
        <v>1716</v>
      </c>
    </row>
    <row r="61" spans="1:7" ht="11.25" customHeight="1">
      <c r="A61" s="310" t="s">
        <v>16</v>
      </c>
      <c r="B61" t="s">
        <v>3311</v>
      </c>
      <c r="C61" t="s">
        <v>3312</v>
      </c>
      <c r="D61" t="s">
        <v>3323</v>
      </c>
      <c r="E61" t="s">
        <v>3324</v>
      </c>
      <c r="F61" t="s">
        <v>3206</v>
      </c>
      <c r="G61" t="s">
        <v>3325</v>
      </c>
    </row>
    <row r="62" spans="1:7" ht="11.25" customHeight="1">
      <c r="A62" s="310" t="s">
        <v>16</v>
      </c>
      <c r="B62" t="s">
        <v>3311</v>
      </c>
      <c r="C62" t="s">
        <v>3312</v>
      </c>
      <c r="D62" t="s">
        <v>3326</v>
      </c>
      <c r="E62" t="s">
        <v>3327</v>
      </c>
      <c r="F62" t="s">
        <v>3206</v>
      </c>
      <c r="G62" t="s">
        <v>3328</v>
      </c>
    </row>
    <row r="63" spans="1:7" ht="11.25" customHeight="1">
      <c r="A63" s="310" t="s">
        <v>16</v>
      </c>
      <c r="B63" t="s">
        <v>3311</v>
      </c>
      <c r="C63" t="s">
        <v>3312</v>
      </c>
      <c r="D63" t="s">
        <v>3329</v>
      </c>
      <c r="E63" t="s">
        <v>3330</v>
      </c>
      <c r="F63" t="s">
        <v>3206</v>
      </c>
      <c r="G63" t="s">
        <v>3331</v>
      </c>
    </row>
    <row r="64" spans="1:7" ht="11.25" customHeight="1">
      <c r="A64" s="310" t="s">
        <v>16</v>
      </c>
      <c r="B64" t="s">
        <v>3311</v>
      </c>
      <c r="C64" t="s">
        <v>3312</v>
      </c>
      <c r="D64" t="s">
        <v>3332</v>
      </c>
      <c r="E64" t="s">
        <v>3333</v>
      </c>
      <c r="F64" t="s">
        <v>3206</v>
      </c>
      <c r="G64" t="s">
        <v>3334</v>
      </c>
    </row>
    <row r="65" spans="1:7" ht="11.25" customHeight="1">
      <c r="A65" s="310" t="s">
        <v>16</v>
      </c>
      <c r="B65" t="s">
        <v>3311</v>
      </c>
      <c r="C65" t="s">
        <v>3312</v>
      </c>
      <c r="D65" t="s">
        <v>3335</v>
      </c>
      <c r="E65" t="s">
        <v>3336</v>
      </c>
      <c r="F65" t="s">
        <v>3222</v>
      </c>
      <c r="G65" t="s">
        <v>3337</v>
      </c>
    </row>
    <row r="66" spans="1:7" ht="11.25" customHeight="1">
      <c r="A66" s="310" t="s">
        <v>16</v>
      </c>
      <c r="B66" t="s">
        <v>3311</v>
      </c>
      <c r="C66" t="s">
        <v>3312</v>
      </c>
      <c r="D66" t="s">
        <v>3338</v>
      </c>
      <c r="E66" t="s">
        <v>3339</v>
      </c>
      <c r="F66" t="s">
        <v>3206</v>
      </c>
      <c r="G66" t="s">
        <v>3340</v>
      </c>
    </row>
    <row r="67" spans="1:7" ht="11.25" customHeight="1">
      <c r="A67" s="310" t="s">
        <v>16</v>
      </c>
      <c r="B67" t="s">
        <v>3311</v>
      </c>
      <c r="C67" t="s">
        <v>3312</v>
      </c>
      <c r="D67" t="s">
        <v>3341</v>
      </c>
      <c r="E67" t="s">
        <v>3342</v>
      </c>
      <c r="F67" t="s">
        <v>3206</v>
      </c>
      <c r="G67" t="s">
        <v>2033</v>
      </c>
    </row>
    <row r="68" spans="1:7" ht="11.25" customHeight="1">
      <c r="A68" s="310" t="s">
        <v>16</v>
      </c>
      <c r="B68" t="s">
        <v>3311</v>
      </c>
      <c r="C68" t="s">
        <v>3312</v>
      </c>
      <c r="D68" t="s">
        <v>3343</v>
      </c>
      <c r="E68" t="s">
        <v>3344</v>
      </c>
      <c r="F68" t="s">
        <v>3206</v>
      </c>
      <c r="G68" t="s">
        <v>3345</v>
      </c>
    </row>
    <row r="69" spans="1:7" ht="11.25" customHeight="1">
      <c r="A69" s="310" t="s">
        <v>16</v>
      </c>
      <c r="B69" t="s">
        <v>3311</v>
      </c>
      <c r="C69" t="s">
        <v>3312</v>
      </c>
      <c r="D69" t="s">
        <v>3346</v>
      </c>
      <c r="E69" t="s">
        <v>3347</v>
      </c>
      <c r="F69" t="s">
        <v>3206</v>
      </c>
      <c r="G69" t="s">
        <v>2236</v>
      </c>
    </row>
    <row r="70" spans="1:7" ht="11.25" customHeight="1">
      <c r="A70" s="310" t="s">
        <v>16</v>
      </c>
      <c r="B70" t="s">
        <v>3311</v>
      </c>
      <c r="C70" t="s">
        <v>3312</v>
      </c>
      <c r="D70" t="s">
        <v>3348</v>
      </c>
      <c r="E70" t="s">
        <v>3349</v>
      </c>
      <c r="F70" t="s">
        <v>3206</v>
      </c>
      <c r="G70" t="s">
        <v>3350</v>
      </c>
    </row>
    <row r="71" spans="1:7" ht="11.25" customHeight="1">
      <c r="A71" s="310" t="s">
        <v>16</v>
      </c>
      <c r="B71" t="s">
        <v>3351</v>
      </c>
      <c r="C71" t="s">
        <v>3352</v>
      </c>
      <c r="D71" t="s">
        <v>3351</v>
      </c>
      <c r="E71" t="s">
        <v>3352</v>
      </c>
      <c r="F71" t="s">
        <v>3353</v>
      </c>
      <c r="G71" t="s">
        <v>3354</v>
      </c>
    </row>
    <row r="72" spans="1:7" ht="11.25" customHeight="1">
      <c r="A72" s="310" t="s">
        <v>16</v>
      </c>
      <c r="B72" t="s">
        <v>3355</v>
      </c>
      <c r="C72" t="s">
        <v>3356</v>
      </c>
      <c r="D72" t="s">
        <v>3357</v>
      </c>
      <c r="E72" t="s">
        <v>3358</v>
      </c>
      <c r="F72" t="s">
        <v>3206</v>
      </c>
      <c r="G72" t="s">
        <v>3359</v>
      </c>
    </row>
    <row r="73" spans="1:7" ht="11.25" customHeight="1">
      <c r="A73" s="310" t="s">
        <v>16</v>
      </c>
      <c r="B73" t="s">
        <v>3355</v>
      </c>
      <c r="C73" t="s">
        <v>3356</v>
      </c>
      <c r="D73" t="s">
        <v>3355</v>
      </c>
      <c r="E73" t="s">
        <v>3356</v>
      </c>
      <c r="F73" t="s">
        <v>3207</v>
      </c>
      <c r="G73" t="s">
        <v>3360</v>
      </c>
    </row>
    <row r="74" spans="1:7" ht="11.25" customHeight="1">
      <c r="A74" s="310" t="s">
        <v>16</v>
      </c>
      <c r="B74" t="s">
        <v>3355</v>
      </c>
      <c r="C74" t="s">
        <v>3356</v>
      </c>
      <c r="D74" t="s">
        <v>3361</v>
      </c>
      <c r="E74" t="s">
        <v>3362</v>
      </c>
      <c r="F74" t="s">
        <v>3206</v>
      </c>
      <c r="G74" t="s">
        <v>3363</v>
      </c>
    </row>
    <row r="75" spans="1:7" ht="11.25" customHeight="1">
      <c r="A75" s="310" t="s">
        <v>16</v>
      </c>
      <c r="B75" t="s">
        <v>3355</v>
      </c>
      <c r="C75" t="s">
        <v>3356</v>
      </c>
      <c r="D75" t="s">
        <v>3364</v>
      </c>
      <c r="E75" t="s">
        <v>3365</v>
      </c>
      <c r="F75" t="s">
        <v>3206</v>
      </c>
      <c r="G75" t="s">
        <v>3366</v>
      </c>
    </row>
    <row r="76" spans="1:7" ht="11.25" customHeight="1">
      <c r="A76" s="310" t="s">
        <v>16</v>
      </c>
      <c r="B76" t="s">
        <v>3355</v>
      </c>
      <c r="C76" t="s">
        <v>3356</v>
      </c>
      <c r="D76" t="s">
        <v>3367</v>
      </c>
      <c r="E76" t="s">
        <v>3368</v>
      </c>
      <c r="F76" t="s">
        <v>3206</v>
      </c>
      <c r="G76" t="s">
        <v>3369</v>
      </c>
    </row>
    <row r="77" spans="1:7" ht="11.25" customHeight="1">
      <c r="A77" s="310" t="s">
        <v>16</v>
      </c>
      <c r="B77" t="s">
        <v>3355</v>
      </c>
      <c r="C77" t="s">
        <v>3356</v>
      </c>
      <c r="D77" t="s">
        <v>3370</v>
      </c>
      <c r="E77" t="s">
        <v>3371</v>
      </c>
      <c r="F77" t="s">
        <v>3206</v>
      </c>
      <c r="G77" t="s">
        <v>3372</v>
      </c>
    </row>
    <row r="78" spans="1:7" ht="11.25" customHeight="1">
      <c r="A78" s="310" t="s">
        <v>16</v>
      </c>
      <c r="B78" t="s">
        <v>3355</v>
      </c>
      <c r="C78" t="s">
        <v>3356</v>
      </c>
      <c r="D78" t="s">
        <v>3373</v>
      </c>
      <c r="E78" t="s">
        <v>3374</v>
      </c>
      <c r="F78" t="s">
        <v>3222</v>
      </c>
      <c r="G78" t="s">
        <v>3375</v>
      </c>
    </row>
    <row r="79" spans="1:7" ht="11.25" customHeight="1">
      <c r="A79" s="310" t="s">
        <v>16</v>
      </c>
      <c r="B79" t="s">
        <v>3355</v>
      </c>
      <c r="C79" t="s">
        <v>3356</v>
      </c>
      <c r="D79" t="s">
        <v>3376</v>
      </c>
      <c r="E79" t="s">
        <v>3377</v>
      </c>
      <c r="F79" t="s">
        <v>3206</v>
      </c>
      <c r="G79" t="s">
        <v>3378</v>
      </c>
    </row>
    <row r="80" spans="1:7" ht="11.25" customHeight="1">
      <c r="A80" s="310" t="s">
        <v>16</v>
      </c>
      <c r="B80" t="s">
        <v>3355</v>
      </c>
      <c r="C80" t="s">
        <v>3356</v>
      </c>
      <c r="D80" t="s">
        <v>3379</v>
      </c>
      <c r="E80" t="s">
        <v>3380</v>
      </c>
      <c r="F80" t="s">
        <v>3206</v>
      </c>
      <c r="G80" t="s">
        <v>3381</v>
      </c>
    </row>
    <row r="81" spans="1:7" ht="11.25" customHeight="1">
      <c r="A81" s="310" t="s">
        <v>16</v>
      </c>
      <c r="B81" t="s">
        <v>3355</v>
      </c>
      <c r="C81" t="s">
        <v>3356</v>
      </c>
      <c r="D81" t="s">
        <v>3382</v>
      </c>
      <c r="E81" t="s">
        <v>3383</v>
      </c>
      <c r="F81" t="s">
        <v>3206</v>
      </c>
      <c r="G81" t="s">
        <v>3384</v>
      </c>
    </row>
    <row r="82" spans="1:7" ht="11.25" customHeight="1">
      <c r="A82" s="310" t="s">
        <v>16</v>
      </c>
      <c r="B82" t="s">
        <v>3355</v>
      </c>
      <c r="C82" t="s">
        <v>3356</v>
      </c>
      <c r="D82" t="s">
        <v>3385</v>
      </c>
      <c r="E82" t="s">
        <v>3386</v>
      </c>
      <c r="F82" t="s">
        <v>3206</v>
      </c>
      <c r="G82" t="s">
        <v>3387</v>
      </c>
    </row>
    <row r="83" spans="1:7" ht="11.25" customHeight="1">
      <c r="A83" s="310" t="s">
        <v>16</v>
      </c>
      <c r="B83" t="s">
        <v>3355</v>
      </c>
      <c r="C83" t="s">
        <v>3356</v>
      </c>
      <c r="D83" t="s">
        <v>3388</v>
      </c>
      <c r="E83" t="s">
        <v>3389</v>
      </c>
      <c r="F83" t="s">
        <v>3206</v>
      </c>
      <c r="G83" t="s">
        <v>3390</v>
      </c>
    </row>
    <row r="84" spans="1:7" ht="11.25" customHeight="1">
      <c r="A84" s="310" t="s">
        <v>16</v>
      </c>
      <c r="B84" t="s">
        <v>3391</v>
      </c>
      <c r="C84" t="s">
        <v>3392</v>
      </c>
      <c r="D84" t="s">
        <v>3393</v>
      </c>
      <c r="E84" t="s">
        <v>3394</v>
      </c>
      <c r="F84" t="s">
        <v>3206</v>
      </c>
      <c r="G84" t="s">
        <v>3395</v>
      </c>
    </row>
    <row r="85" spans="1:7" ht="11.25" customHeight="1">
      <c r="A85" s="310" t="s">
        <v>16</v>
      </c>
      <c r="B85" t="s">
        <v>3391</v>
      </c>
      <c r="C85" t="s">
        <v>3392</v>
      </c>
      <c r="D85" t="s">
        <v>3396</v>
      </c>
      <c r="E85" t="s">
        <v>3397</v>
      </c>
      <c r="F85" t="s">
        <v>3206</v>
      </c>
      <c r="G85" t="s">
        <v>3398</v>
      </c>
    </row>
    <row r="86" spans="1:7" ht="11.25" customHeight="1">
      <c r="A86" s="310" t="s">
        <v>16</v>
      </c>
      <c r="B86" t="s">
        <v>3391</v>
      </c>
      <c r="C86" t="s">
        <v>3392</v>
      </c>
      <c r="D86" t="s">
        <v>3391</v>
      </c>
      <c r="E86" t="s">
        <v>3392</v>
      </c>
      <c r="F86" t="s">
        <v>3207</v>
      </c>
      <c r="G86" t="s">
        <v>3399</v>
      </c>
    </row>
    <row r="87" spans="1:7" ht="11.25" customHeight="1">
      <c r="A87" s="310" t="s">
        <v>16</v>
      </c>
      <c r="B87" t="s">
        <v>3391</v>
      </c>
      <c r="C87" t="s">
        <v>3392</v>
      </c>
      <c r="D87" t="s">
        <v>3400</v>
      </c>
      <c r="E87" t="s">
        <v>3401</v>
      </c>
      <c r="F87" t="s">
        <v>3206</v>
      </c>
      <c r="G87" t="s">
        <v>3402</v>
      </c>
    </row>
    <row r="88" spans="1:7" ht="11.25" customHeight="1">
      <c r="A88" s="310" t="s">
        <v>16</v>
      </c>
      <c r="B88" t="s">
        <v>3391</v>
      </c>
      <c r="C88" t="s">
        <v>3392</v>
      </c>
      <c r="D88" t="s">
        <v>3403</v>
      </c>
      <c r="E88" t="s">
        <v>3404</v>
      </c>
      <c r="F88" t="s">
        <v>3222</v>
      </c>
      <c r="G88" t="s">
        <v>3405</v>
      </c>
    </row>
    <row r="89" spans="1:7" ht="11.25" customHeight="1">
      <c r="A89" s="310" t="s">
        <v>16</v>
      </c>
      <c r="B89" t="s">
        <v>3391</v>
      </c>
      <c r="C89" t="s">
        <v>3392</v>
      </c>
      <c r="D89" t="s">
        <v>3406</v>
      </c>
      <c r="E89" t="s">
        <v>3407</v>
      </c>
      <c r="F89" t="s">
        <v>3206</v>
      </c>
      <c r="G89" t="s">
        <v>3408</v>
      </c>
    </row>
    <row r="90" spans="1:7" ht="11.25" customHeight="1">
      <c r="A90" s="310" t="s">
        <v>16</v>
      </c>
      <c r="B90" t="s">
        <v>3391</v>
      </c>
      <c r="C90" t="s">
        <v>3392</v>
      </c>
      <c r="D90" t="s">
        <v>3409</v>
      </c>
      <c r="E90" t="s">
        <v>3410</v>
      </c>
      <c r="F90" t="s">
        <v>3206</v>
      </c>
      <c r="G90" t="s">
        <v>3411</v>
      </c>
    </row>
    <row r="91" spans="1:7" ht="11.25" customHeight="1">
      <c r="A91" s="310" t="s">
        <v>16</v>
      </c>
      <c r="B91" t="s">
        <v>3412</v>
      </c>
      <c r="C91" t="s">
        <v>3413</v>
      </c>
      <c r="D91" t="s">
        <v>3414</v>
      </c>
      <c r="E91" t="s">
        <v>3415</v>
      </c>
      <c r="F91" t="s">
        <v>3206</v>
      </c>
      <c r="G91" t="s">
        <v>3416</v>
      </c>
    </row>
    <row r="92" spans="1:7" ht="11.25" customHeight="1">
      <c r="A92" s="310" t="s">
        <v>16</v>
      </c>
      <c r="B92" t="s">
        <v>3412</v>
      </c>
      <c r="C92" t="s">
        <v>3413</v>
      </c>
      <c r="D92" t="s">
        <v>3417</v>
      </c>
      <c r="E92" t="s">
        <v>3418</v>
      </c>
      <c r="F92" t="s">
        <v>3206</v>
      </c>
      <c r="G92" t="s">
        <v>3419</v>
      </c>
    </row>
    <row r="93" spans="1:7" ht="11.25" customHeight="1">
      <c r="A93" s="310" t="s">
        <v>16</v>
      </c>
      <c r="B93" t="s">
        <v>3412</v>
      </c>
      <c r="C93" t="s">
        <v>3413</v>
      </c>
      <c r="D93" t="s">
        <v>3420</v>
      </c>
      <c r="E93" t="s">
        <v>3421</v>
      </c>
      <c r="F93" t="s">
        <v>3206</v>
      </c>
      <c r="G93" t="s">
        <v>3422</v>
      </c>
    </row>
    <row r="94" spans="1:7" ht="11.25" customHeight="1">
      <c r="A94" s="310" t="s">
        <v>16</v>
      </c>
      <c r="B94" t="s">
        <v>3412</v>
      </c>
      <c r="C94" t="s">
        <v>3413</v>
      </c>
      <c r="D94" t="s">
        <v>3423</v>
      </c>
      <c r="E94" t="s">
        <v>3424</v>
      </c>
      <c r="F94" t="s">
        <v>3257</v>
      </c>
      <c r="G94" t="s">
        <v>3425</v>
      </c>
    </row>
    <row r="95" spans="1:7" ht="11.25" customHeight="1">
      <c r="A95" s="310" t="s">
        <v>16</v>
      </c>
      <c r="B95" t="s">
        <v>3412</v>
      </c>
      <c r="C95" t="s">
        <v>3413</v>
      </c>
      <c r="D95" t="s">
        <v>3412</v>
      </c>
      <c r="E95" t="s">
        <v>3413</v>
      </c>
      <c r="F95" t="s">
        <v>3207</v>
      </c>
      <c r="G95" t="s">
        <v>3426</v>
      </c>
    </row>
    <row r="96" spans="1:7" ht="11.25" customHeight="1">
      <c r="A96" s="310" t="s">
        <v>16</v>
      </c>
      <c r="B96" t="s">
        <v>3412</v>
      </c>
      <c r="C96" t="s">
        <v>3413</v>
      </c>
      <c r="D96" t="s">
        <v>3427</v>
      </c>
      <c r="E96" t="s">
        <v>3428</v>
      </c>
      <c r="F96" t="s">
        <v>3206</v>
      </c>
      <c r="G96" t="s">
        <v>3429</v>
      </c>
    </row>
    <row r="97" spans="1:7" ht="11.25" customHeight="1">
      <c r="A97" s="310" t="s">
        <v>16</v>
      </c>
      <c r="B97" t="s">
        <v>3412</v>
      </c>
      <c r="C97" t="s">
        <v>3413</v>
      </c>
      <c r="D97" t="s">
        <v>3430</v>
      </c>
      <c r="E97" t="s">
        <v>3431</v>
      </c>
      <c r="F97" t="s">
        <v>3206</v>
      </c>
      <c r="G97" t="s">
        <v>3432</v>
      </c>
    </row>
    <row r="98" spans="1:7" ht="11.25" customHeight="1">
      <c r="A98" s="310" t="s">
        <v>16</v>
      </c>
      <c r="B98" t="s">
        <v>3412</v>
      </c>
      <c r="C98" t="s">
        <v>3413</v>
      </c>
      <c r="D98" t="s">
        <v>3433</v>
      </c>
      <c r="E98" t="s">
        <v>3434</v>
      </c>
      <c r="F98" t="s">
        <v>3206</v>
      </c>
      <c r="G98" t="s">
        <v>3435</v>
      </c>
    </row>
    <row r="99" spans="1:7" ht="11.25" customHeight="1">
      <c r="A99" s="310" t="s">
        <v>16</v>
      </c>
      <c r="B99" t="s">
        <v>3412</v>
      </c>
      <c r="C99" t="s">
        <v>3413</v>
      </c>
      <c r="D99" t="s">
        <v>3436</v>
      </c>
      <c r="E99" t="s">
        <v>3437</v>
      </c>
      <c r="F99" t="s">
        <v>3206</v>
      </c>
      <c r="G99" t="s">
        <v>3438</v>
      </c>
    </row>
    <row r="100" spans="1:7" ht="11.25" customHeight="1">
      <c r="A100" s="310" t="s">
        <v>16</v>
      </c>
      <c r="B100" t="s">
        <v>3412</v>
      </c>
      <c r="C100" t="s">
        <v>3413</v>
      </c>
      <c r="D100" t="s">
        <v>3439</v>
      </c>
      <c r="E100" t="s">
        <v>3440</v>
      </c>
      <c r="F100" t="s">
        <v>3206</v>
      </c>
      <c r="G100" t="s">
        <v>3441</v>
      </c>
    </row>
    <row r="101" spans="1:7" ht="11.25" customHeight="1">
      <c r="A101" s="310" t="s">
        <v>16</v>
      </c>
      <c r="B101" t="s">
        <v>3412</v>
      </c>
      <c r="C101" t="s">
        <v>3413</v>
      </c>
      <c r="D101" t="s">
        <v>3442</v>
      </c>
      <c r="E101" t="s">
        <v>3443</v>
      </c>
      <c r="F101" t="s">
        <v>3206</v>
      </c>
      <c r="G101" t="s">
        <v>3444</v>
      </c>
    </row>
    <row r="102" spans="1:7" ht="11.25" customHeight="1">
      <c r="A102" s="310" t="s">
        <v>16</v>
      </c>
      <c r="B102" t="s">
        <v>3412</v>
      </c>
      <c r="C102" t="s">
        <v>3413</v>
      </c>
      <c r="D102" t="s">
        <v>3445</v>
      </c>
      <c r="E102" t="s">
        <v>3446</v>
      </c>
      <c r="F102" t="s">
        <v>3206</v>
      </c>
      <c r="G102" t="s">
        <v>3447</v>
      </c>
    </row>
    <row r="103" spans="1:7" ht="11.25" customHeight="1">
      <c r="A103" s="310" t="s">
        <v>16</v>
      </c>
      <c r="B103" t="s">
        <v>3412</v>
      </c>
      <c r="C103" t="s">
        <v>3413</v>
      </c>
      <c r="D103" t="s">
        <v>3448</v>
      </c>
      <c r="E103" t="s">
        <v>3449</v>
      </c>
      <c r="F103" t="s">
        <v>3206</v>
      </c>
      <c r="G103" t="s">
        <v>3450</v>
      </c>
    </row>
    <row r="104" spans="1:7" ht="11.25" customHeight="1">
      <c r="A104" s="310" t="s">
        <v>16</v>
      </c>
      <c r="B104" t="s">
        <v>3451</v>
      </c>
      <c r="C104" t="s">
        <v>3452</v>
      </c>
      <c r="D104" t="s">
        <v>3453</v>
      </c>
      <c r="E104" t="s">
        <v>3454</v>
      </c>
      <c r="F104" t="s">
        <v>3206</v>
      </c>
      <c r="G104" t="s">
        <v>3455</v>
      </c>
    </row>
    <row r="105" spans="1:7" ht="11.25" customHeight="1">
      <c r="A105" s="310" t="s">
        <v>16</v>
      </c>
      <c r="B105" t="s">
        <v>3451</v>
      </c>
      <c r="C105" t="s">
        <v>3452</v>
      </c>
      <c r="D105" t="s">
        <v>3451</v>
      </c>
      <c r="E105" t="s">
        <v>3452</v>
      </c>
      <c r="F105" t="s">
        <v>3207</v>
      </c>
      <c r="G105" t="s">
        <v>3456</v>
      </c>
    </row>
    <row r="106" spans="1:7" ht="11.25" customHeight="1">
      <c r="A106" s="310" t="s">
        <v>16</v>
      </c>
      <c r="B106" t="s">
        <v>3451</v>
      </c>
      <c r="C106" t="s">
        <v>3452</v>
      </c>
      <c r="D106" t="s">
        <v>3457</v>
      </c>
      <c r="E106" t="s">
        <v>3458</v>
      </c>
      <c r="F106" t="s">
        <v>3206</v>
      </c>
      <c r="G106" t="s">
        <v>3459</v>
      </c>
    </row>
    <row r="107" spans="1:7" ht="11.25" customHeight="1">
      <c r="A107" s="310" t="s">
        <v>16</v>
      </c>
      <c r="B107" t="s">
        <v>3451</v>
      </c>
      <c r="C107" t="s">
        <v>3452</v>
      </c>
      <c r="D107" t="s">
        <v>3460</v>
      </c>
      <c r="E107" t="s">
        <v>3461</v>
      </c>
      <c r="F107" t="s">
        <v>3206</v>
      </c>
      <c r="G107" t="s">
        <v>3462</v>
      </c>
    </row>
    <row r="108" spans="1:7" ht="11.25" customHeight="1">
      <c r="A108" s="310" t="s">
        <v>16</v>
      </c>
      <c r="B108" t="s">
        <v>3451</v>
      </c>
      <c r="C108" t="s">
        <v>3452</v>
      </c>
      <c r="D108" t="s">
        <v>3463</v>
      </c>
      <c r="E108" t="s">
        <v>3464</v>
      </c>
      <c r="F108" t="s">
        <v>3206</v>
      </c>
      <c r="G108" t="s">
        <v>3465</v>
      </c>
    </row>
    <row r="109" spans="1:7" ht="11.25" customHeight="1">
      <c r="A109" s="310" t="s">
        <v>16</v>
      </c>
      <c r="B109" t="s">
        <v>3451</v>
      </c>
      <c r="C109" t="s">
        <v>3452</v>
      </c>
      <c r="D109" t="s">
        <v>3466</v>
      </c>
      <c r="E109" t="s">
        <v>3467</v>
      </c>
      <c r="F109" t="s">
        <v>3206</v>
      </c>
      <c r="G109" t="s">
        <v>3468</v>
      </c>
    </row>
    <row r="110" spans="1:7" ht="11.25" customHeight="1">
      <c r="A110" s="310" t="s">
        <v>16</v>
      </c>
      <c r="B110" t="s">
        <v>3451</v>
      </c>
      <c r="C110" t="s">
        <v>3452</v>
      </c>
      <c r="D110" t="s">
        <v>3469</v>
      </c>
      <c r="E110" t="s">
        <v>3470</v>
      </c>
      <c r="F110" t="s">
        <v>3206</v>
      </c>
      <c r="G110" t="s">
        <v>3471</v>
      </c>
    </row>
    <row r="111" spans="1:7" ht="11.25" customHeight="1">
      <c r="A111" s="310" t="s">
        <v>16</v>
      </c>
      <c r="B111" t="s">
        <v>3472</v>
      </c>
      <c r="C111" t="s">
        <v>3473</v>
      </c>
      <c r="D111" t="s">
        <v>3474</v>
      </c>
      <c r="E111" t="s">
        <v>3475</v>
      </c>
      <c r="F111" t="s">
        <v>3206</v>
      </c>
      <c r="G111" t="s">
        <v>3476</v>
      </c>
    </row>
    <row r="112" spans="1:7" ht="11.25" customHeight="1">
      <c r="A112" s="310" t="s">
        <v>16</v>
      </c>
      <c r="B112" t="s">
        <v>3472</v>
      </c>
      <c r="C112" t="s">
        <v>3473</v>
      </c>
      <c r="D112" t="s">
        <v>3472</v>
      </c>
      <c r="E112" t="s">
        <v>3473</v>
      </c>
      <c r="F112" t="s">
        <v>3207</v>
      </c>
      <c r="G112" t="s">
        <v>3477</v>
      </c>
    </row>
    <row r="113" spans="1:7" ht="11.25" customHeight="1">
      <c r="A113" s="310" t="s">
        <v>16</v>
      </c>
      <c r="B113" t="s">
        <v>3472</v>
      </c>
      <c r="C113" t="s">
        <v>3473</v>
      </c>
      <c r="D113" t="s">
        <v>3478</v>
      </c>
      <c r="E113" t="s">
        <v>3479</v>
      </c>
      <c r="F113" t="s">
        <v>3206</v>
      </c>
      <c r="G113" t="s">
        <v>3480</v>
      </c>
    </row>
    <row r="114" spans="1:7" ht="11.25" customHeight="1">
      <c r="A114" s="310" t="s">
        <v>16</v>
      </c>
      <c r="B114" t="s">
        <v>3472</v>
      </c>
      <c r="C114" t="s">
        <v>3473</v>
      </c>
      <c r="D114" t="s">
        <v>3481</v>
      </c>
      <c r="E114" t="s">
        <v>3482</v>
      </c>
      <c r="F114" t="s">
        <v>3206</v>
      </c>
      <c r="G114" t="s">
        <v>3483</v>
      </c>
    </row>
    <row r="115" spans="1:7" ht="11.25" customHeight="1">
      <c r="A115" s="310" t="s">
        <v>16</v>
      </c>
      <c r="B115" t="s">
        <v>3472</v>
      </c>
      <c r="C115" t="s">
        <v>3473</v>
      </c>
      <c r="D115" t="s">
        <v>3484</v>
      </c>
      <c r="E115" t="s">
        <v>3485</v>
      </c>
      <c r="F115" t="s">
        <v>3206</v>
      </c>
      <c r="G115" t="s">
        <v>3486</v>
      </c>
    </row>
    <row r="116" spans="1:7" ht="11.25" customHeight="1">
      <c r="A116" s="310" t="s">
        <v>16</v>
      </c>
      <c r="B116" t="s">
        <v>3472</v>
      </c>
      <c r="C116" t="s">
        <v>3473</v>
      </c>
      <c r="D116" t="s">
        <v>3487</v>
      </c>
      <c r="E116" t="s">
        <v>3488</v>
      </c>
      <c r="F116" t="s">
        <v>3206</v>
      </c>
      <c r="G116" t="s">
        <v>3489</v>
      </c>
    </row>
    <row r="117" spans="1:7" ht="11.25" customHeight="1">
      <c r="A117" s="310" t="s">
        <v>16</v>
      </c>
      <c r="B117" t="s">
        <v>3472</v>
      </c>
      <c r="C117" t="s">
        <v>3473</v>
      </c>
      <c r="D117" t="s">
        <v>3490</v>
      </c>
      <c r="E117" t="s">
        <v>3491</v>
      </c>
      <c r="F117" t="s">
        <v>3222</v>
      </c>
      <c r="G117" t="s">
        <v>3492</v>
      </c>
    </row>
    <row r="118" spans="1:7" ht="11.25" customHeight="1">
      <c r="A118" s="310" t="s">
        <v>16</v>
      </c>
      <c r="B118" t="s">
        <v>3472</v>
      </c>
      <c r="C118" t="s">
        <v>3473</v>
      </c>
      <c r="D118" t="s">
        <v>3493</v>
      </c>
      <c r="E118" t="s">
        <v>3494</v>
      </c>
      <c r="F118" t="s">
        <v>3206</v>
      </c>
      <c r="G118" t="s">
        <v>3495</v>
      </c>
    </row>
    <row r="119" spans="1:7" ht="11.25" customHeight="1">
      <c r="A119" s="310" t="s">
        <v>16</v>
      </c>
      <c r="B119" t="s">
        <v>3472</v>
      </c>
      <c r="C119" t="s">
        <v>3473</v>
      </c>
      <c r="D119" t="s">
        <v>3496</v>
      </c>
      <c r="E119" t="s">
        <v>3497</v>
      </c>
      <c r="F119" t="s">
        <v>3206</v>
      </c>
      <c r="G119" t="s">
        <v>3498</v>
      </c>
    </row>
    <row r="120" spans="1:7" ht="11.25" customHeight="1">
      <c r="A120" s="310" t="s">
        <v>16</v>
      </c>
      <c r="B120" t="s">
        <v>3472</v>
      </c>
      <c r="C120" t="s">
        <v>3473</v>
      </c>
      <c r="D120" t="s">
        <v>3499</v>
      </c>
      <c r="E120" t="s">
        <v>3500</v>
      </c>
      <c r="F120" t="s">
        <v>3206</v>
      </c>
      <c r="G120" t="s">
        <v>3501</v>
      </c>
    </row>
    <row r="121" spans="1:7" ht="11.25" customHeight="1">
      <c r="A121" s="310" t="s">
        <v>16</v>
      </c>
      <c r="B121" t="s">
        <v>3502</v>
      </c>
      <c r="C121" t="s">
        <v>3503</v>
      </c>
      <c r="D121" t="s">
        <v>3504</v>
      </c>
      <c r="E121" t="s">
        <v>3505</v>
      </c>
      <c r="F121" t="s">
        <v>3206</v>
      </c>
      <c r="G121" t="s">
        <v>3506</v>
      </c>
    </row>
    <row r="122" spans="1:7" ht="11.25" customHeight="1">
      <c r="A122" s="310" t="s">
        <v>16</v>
      </c>
      <c r="B122" t="s">
        <v>3502</v>
      </c>
      <c r="C122" t="s">
        <v>3503</v>
      </c>
      <c r="D122" t="s">
        <v>3507</v>
      </c>
      <c r="E122" t="s">
        <v>3508</v>
      </c>
      <c r="F122" t="s">
        <v>3206</v>
      </c>
      <c r="G122" t="s">
        <v>3509</v>
      </c>
    </row>
    <row r="123" spans="1:7" ht="11.25" customHeight="1">
      <c r="A123" s="310" t="s">
        <v>16</v>
      </c>
      <c r="B123" t="s">
        <v>3502</v>
      </c>
      <c r="C123" t="s">
        <v>3503</v>
      </c>
      <c r="D123" t="s">
        <v>3510</v>
      </c>
      <c r="E123" t="s">
        <v>3511</v>
      </c>
      <c r="F123" t="s">
        <v>3206</v>
      </c>
      <c r="G123" t="s">
        <v>3512</v>
      </c>
    </row>
    <row r="124" spans="1:7" ht="11.25" customHeight="1">
      <c r="A124" s="310" t="s">
        <v>16</v>
      </c>
      <c r="B124" t="s">
        <v>3502</v>
      </c>
      <c r="C124" t="s">
        <v>3503</v>
      </c>
      <c r="D124" t="s">
        <v>3502</v>
      </c>
      <c r="E124" t="s">
        <v>3503</v>
      </c>
      <c r="F124" t="s">
        <v>3207</v>
      </c>
      <c r="G124" t="s">
        <v>3513</v>
      </c>
    </row>
    <row r="125" spans="1:7" ht="11.25" customHeight="1">
      <c r="A125" s="310" t="s">
        <v>16</v>
      </c>
      <c r="B125" t="s">
        <v>3502</v>
      </c>
      <c r="C125" t="s">
        <v>3503</v>
      </c>
      <c r="D125" t="s">
        <v>3514</v>
      </c>
      <c r="E125" t="s">
        <v>3515</v>
      </c>
      <c r="F125" t="s">
        <v>3206</v>
      </c>
      <c r="G125" t="s">
        <v>3516</v>
      </c>
    </row>
    <row r="126" spans="1:7" ht="11.25" customHeight="1">
      <c r="A126" s="310" t="s">
        <v>16</v>
      </c>
      <c r="B126" t="s">
        <v>3502</v>
      </c>
      <c r="C126" t="s">
        <v>3503</v>
      </c>
      <c r="D126" t="s">
        <v>3517</v>
      </c>
      <c r="E126" t="s">
        <v>3518</v>
      </c>
      <c r="F126" t="s">
        <v>3206</v>
      </c>
      <c r="G126" t="s">
        <v>3519</v>
      </c>
    </row>
    <row r="127" spans="1:7" ht="11.25" customHeight="1">
      <c r="A127" s="310" t="s">
        <v>16</v>
      </c>
      <c r="B127" t="s">
        <v>3502</v>
      </c>
      <c r="C127" t="s">
        <v>3503</v>
      </c>
      <c r="D127" t="s">
        <v>3520</v>
      </c>
      <c r="E127" t="s">
        <v>3521</v>
      </c>
      <c r="F127" t="s">
        <v>3206</v>
      </c>
      <c r="G127" t="s">
        <v>3522</v>
      </c>
    </row>
    <row r="128" spans="1:7" ht="11.25" customHeight="1">
      <c r="A128" s="310" t="s">
        <v>16</v>
      </c>
      <c r="B128" t="s">
        <v>3502</v>
      </c>
      <c r="C128" t="s">
        <v>3503</v>
      </c>
      <c r="D128" t="s">
        <v>3523</v>
      </c>
      <c r="E128" t="s">
        <v>3524</v>
      </c>
      <c r="F128" t="s">
        <v>3206</v>
      </c>
      <c r="G128" t="s">
        <v>3525</v>
      </c>
    </row>
    <row r="129" spans="1:7" ht="11.25" customHeight="1">
      <c r="A129" s="310" t="s">
        <v>16</v>
      </c>
      <c r="B129" t="s">
        <v>3502</v>
      </c>
      <c r="C129" t="s">
        <v>3503</v>
      </c>
      <c r="D129" t="s">
        <v>3526</v>
      </c>
      <c r="E129" t="s">
        <v>3527</v>
      </c>
      <c r="F129" t="s">
        <v>3206</v>
      </c>
      <c r="G129" t="s">
        <v>3528</v>
      </c>
    </row>
    <row r="130" spans="1:7" ht="11.25" customHeight="1">
      <c r="A130" s="310" t="s">
        <v>16</v>
      </c>
      <c r="B130" t="s">
        <v>3502</v>
      </c>
      <c r="C130" t="s">
        <v>3503</v>
      </c>
      <c r="D130" t="s">
        <v>3529</v>
      </c>
      <c r="E130" t="s">
        <v>3530</v>
      </c>
      <c r="F130" t="s">
        <v>3206</v>
      </c>
      <c r="G130" t="s">
        <v>3531</v>
      </c>
    </row>
    <row r="131" spans="1:7" ht="11.25" customHeight="1">
      <c r="A131" s="310" t="s">
        <v>16</v>
      </c>
      <c r="B131" t="s">
        <v>3502</v>
      </c>
      <c r="C131" t="s">
        <v>3503</v>
      </c>
      <c r="D131" t="s">
        <v>3532</v>
      </c>
      <c r="E131" t="s">
        <v>3533</v>
      </c>
      <c r="F131" t="s">
        <v>3206</v>
      </c>
      <c r="G131" t="s">
        <v>3534</v>
      </c>
    </row>
    <row r="132" spans="1:7" ht="11.25" customHeight="1">
      <c r="A132" s="310" t="s">
        <v>16</v>
      </c>
      <c r="B132" t="s">
        <v>3502</v>
      </c>
      <c r="C132" t="s">
        <v>3503</v>
      </c>
      <c r="D132" t="s">
        <v>3535</v>
      </c>
      <c r="E132" t="s">
        <v>3536</v>
      </c>
      <c r="F132" t="s">
        <v>3206</v>
      </c>
      <c r="G132" t="s">
        <v>3537</v>
      </c>
    </row>
    <row r="133" spans="1:7" ht="11.25" customHeight="1">
      <c r="A133" s="310" t="s">
        <v>16</v>
      </c>
      <c r="B133" t="s">
        <v>3502</v>
      </c>
      <c r="C133" t="s">
        <v>3503</v>
      </c>
      <c r="D133" t="s">
        <v>3538</v>
      </c>
      <c r="E133" t="s">
        <v>3539</v>
      </c>
      <c r="F133" t="s">
        <v>3222</v>
      </c>
      <c r="G133" t="s">
        <v>3540</v>
      </c>
    </row>
    <row r="134" spans="1:7" ht="11.25" customHeight="1">
      <c r="A134" s="310" t="s">
        <v>16</v>
      </c>
      <c r="B134" t="s">
        <v>3502</v>
      </c>
      <c r="C134" t="s">
        <v>3503</v>
      </c>
      <c r="D134" t="s">
        <v>3541</v>
      </c>
      <c r="E134" t="s">
        <v>3542</v>
      </c>
      <c r="F134" t="s">
        <v>3222</v>
      </c>
      <c r="G134" t="s">
        <v>3543</v>
      </c>
    </row>
    <row r="135" spans="1:7" ht="11.25" customHeight="1">
      <c r="A135" s="310" t="s">
        <v>16</v>
      </c>
      <c r="B135" t="s">
        <v>3544</v>
      </c>
      <c r="C135" t="s">
        <v>3545</v>
      </c>
      <c r="D135" t="s">
        <v>3546</v>
      </c>
      <c r="E135" t="s">
        <v>3547</v>
      </c>
      <c r="F135" t="s">
        <v>3206</v>
      </c>
      <c r="G135" t="s">
        <v>3548</v>
      </c>
    </row>
    <row r="136" spans="1:7" ht="11.25" customHeight="1">
      <c r="A136" s="310" t="s">
        <v>16</v>
      </c>
      <c r="B136" t="s">
        <v>3544</v>
      </c>
      <c r="C136" t="s">
        <v>3545</v>
      </c>
      <c r="D136" t="s">
        <v>3549</v>
      </c>
      <c r="E136" t="s">
        <v>3550</v>
      </c>
      <c r="F136" t="s">
        <v>3206</v>
      </c>
      <c r="G136" t="s">
        <v>3551</v>
      </c>
    </row>
    <row r="137" spans="1:7" ht="11.25" customHeight="1">
      <c r="A137" s="310" t="s">
        <v>16</v>
      </c>
      <c r="B137" t="s">
        <v>3544</v>
      </c>
      <c r="C137" t="s">
        <v>3545</v>
      </c>
      <c r="D137" t="s">
        <v>3552</v>
      </c>
      <c r="E137" t="s">
        <v>3553</v>
      </c>
      <c r="F137" t="s">
        <v>3206</v>
      </c>
      <c r="G137" t="s">
        <v>3554</v>
      </c>
    </row>
    <row r="138" spans="1:7" ht="11.25" customHeight="1">
      <c r="A138" s="310" t="s">
        <v>16</v>
      </c>
      <c r="B138" t="s">
        <v>3544</v>
      </c>
      <c r="C138" t="s">
        <v>3545</v>
      </c>
      <c r="D138" t="s">
        <v>3260</v>
      </c>
      <c r="E138" t="s">
        <v>3555</v>
      </c>
      <c r="F138" t="s">
        <v>3206</v>
      </c>
      <c r="G138" t="s">
        <v>3556</v>
      </c>
    </row>
    <row r="139" spans="1:7" ht="11.25" customHeight="1">
      <c r="A139" s="310" t="s">
        <v>16</v>
      </c>
      <c r="B139" t="s">
        <v>3544</v>
      </c>
      <c r="C139" t="s">
        <v>3545</v>
      </c>
      <c r="D139" t="s">
        <v>3557</v>
      </c>
      <c r="E139" t="s">
        <v>3558</v>
      </c>
      <c r="F139" t="s">
        <v>3206</v>
      </c>
      <c r="G139" t="s">
        <v>3559</v>
      </c>
    </row>
    <row r="140" spans="1:7" ht="11.25" customHeight="1">
      <c r="A140" s="310" t="s">
        <v>16</v>
      </c>
      <c r="B140" t="s">
        <v>3544</v>
      </c>
      <c r="C140" t="s">
        <v>3545</v>
      </c>
      <c r="D140" t="s">
        <v>3544</v>
      </c>
      <c r="E140" t="s">
        <v>3545</v>
      </c>
      <c r="F140" t="s">
        <v>3207</v>
      </c>
      <c r="G140" t="s">
        <v>3560</v>
      </c>
    </row>
    <row r="141" spans="1:7" ht="11.25" customHeight="1">
      <c r="A141" s="310" t="s">
        <v>16</v>
      </c>
      <c r="B141" t="s">
        <v>3544</v>
      </c>
      <c r="C141" t="s">
        <v>3545</v>
      </c>
      <c r="D141" t="s">
        <v>3561</v>
      </c>
      <c r="E141" t="s">
        <v>3562</v>
      </c>
      <c r="F141" t="s">
        <v>3206</v>
      </c>
      <c r="G141" t="s">
        <v>3563</v>
      </c>
    </row>
    <row r="142" spans="1:7" ht="11.25" customHeight="1">
      <c r="A142" s="310" t="s">
        <v>16</v>
      </c>
      <c r="B142" t="s">
        <v>3544</v>
      </c>
      <c r="C142" t="s">
        <v>3545</v>
      </c>
      <c r="D142" t="s">
        <v>3564</v>
      </c>
      <c r="E142" t="s">
        <v>3565</v>
      </c>
      <c r="F142" t="s">
        <v>3206</v>
      </c>
      <c r="G142" t="s">
        <v>3566</v>
      </c>
    </row>
    <row r="143" spans="1:7" ht="11.25" customHeight="1">
      <c r="A143" s="310" t="s">
        <v>16</v>
      </c>
      <c r="B143" t="s">
        <v>3544</v>
      </c>
      <c r="C143" t="s">
        <v>3545</v>
      </c>
      <c r="D143" t="s">
        <v>3567</v>
      </c>
      <c r="E143" t="s">
        <v>3568</v>
      </c>
      <c r="F143" t="s">
        <v>3206</v>
      </c>
      <c r="G143" t="s">
        <v>3569</v>
      </c>
    </row>
    <row r="144" spans="1:7" ht="11.25" customHeight="1">
      <c r="A144" s="310" t="s">
        <v>16</v>
      </c>
      <c r="B144" t="s">
        <v>3544</v>
      </c>
      <c r="C144" t="s">
        <v>3545</v>
      </c>
      <c r="D144" t="s">
        <v>3570</v>
      </c>
      <c r="E144" t="s">
        <v>3571</v>
      </c>
      <c r="F144" t="s">
        <v>3206</v>
      </c>
      <c r="G144" t="s">
        <v>3572</v>
      </c>
    </row>
    <row r="145" spans="1:7" ht="11.25" customHeight="1">
      <c r="A145" s="310" t="s">
        <v>16</v>
      </c>
      <c r="B145" t="s">
        <v>3544</v>
      </c>
      <c r="C145" t="s">
        <v>3545</v>
      </c>
      <c r="D145" t="s">
        <v>3573</v>
      </c>
      <c r="E145" t="s">
        <v>3574</v>
      </c>
      <c r="F145" t="s">
        <v>3206</v>
      </c>
      <c r="G145" t="s">
        <v>3575</v>
      </c>
    </row>
    <row r="146" spans="1:7" ht="11.25" customHeight="1">
      <c r="A146" s="310" t="s">
        <v>16</v>
      </c>
      <c r="B146" t="s">
        <v>3544</v>
      </c>
      <c r="C146" t="s">
        <v>3545</v>
      </c>
      <c r="D146" t="s">
        <v>3576</v>
      </c>
      <c r="E146" t="s">
        <v>3577</v>
      </c>
      <c r="F146" t="s">
        <v>3206</v>
      </c>
      <c r="G146" t="s">
        <v>3578</v>
      </c>
    </row>
    <row r="147" spans="1:7" ht="11.25" customHeight="1">
      <c r="A147" s="310" t="s">
        <v>16</v>
      </c>
      <c r="B147" t="s">
        <v>3579</v>
      </c>
      <c r="C147" t="s">
        <v>3580</v>
      </c>
      <c r="D147" t="s">
        <v>3581</v>
      </c>
      <c r="E147" t="s">
        <v>3582</v>
      </c>
      <c r="F147" t="s">
        <v>3206</v>
      </c>
      <c r="G147" t="s">
        <v>3583</v>
      </c>
    </row>
    <row r="148" spans="1:7" ht="11.25" customHeight="1">
      <c r="A148" s="310" t="s">
        <v>16</v>
      </c>
      <c r="B148" t="s">
        <v>3579</v>
      </c>
      <c r="C148" t="s">
        <v>3580</v>
      </c>
      <c r="D148" t="s">
        <v>3584</v>
      </c>
      <c r="E148" t="s">
        <v>3585</v>
      </c>
      <c r="F148" t="s">
        <v>3206</v>
      </c>
      <c r="G148" t="s">
        <v>3586</v>
      </c>
    </row>
    <row r="149" spans="1:7" ht="11.25" customHeight="1">
      <c r="A149" s="310" t="s">
        <v>16</v>
      </c>
      <c r="B149" t="s">
        <v>3579</v>
      </c>
      <c r="C149" t="s">
        <v>3580</v>
      </c>
      <c r="D149" t="s">
        <v>3587</v>
      </c>
      <c r="E149" t="s">
        <v>3588</v>
      </c>
      <c r="F149" t="s">
        <v>3206</v>
      </c>
      <c r="G149" t="s">
        <v>3589</v>
      </c>
    </row>
    <row r="150" spans="1:7" ht="11.25" customHeight="1">
      <c r="A150" s="310" t="s">
        <v>16</v>
      </c>
      <c r="B150" t="s">
        <v>3579</v>
      </c>
      <c r="C150" t="s">
        <v>3580</v>
      </c>
      <c r="D150" t="s">
        <v>3590</v>
      </c>
      <c r="E150" t="s">
        <v>3591</v>
      </c>
      <c r="F150" t="s">
        <v>3206</v>
      </c>
      <c r="G150" t="s">
        <v>3592</v>
      </c>
    </row>
    <row r="151" spans="1:7" ht="11.25" customHeight="1">
      <c r="A151" s="310" t="s">
        <v>16</v>
      </c>
      <c r="B151" t="s">
        <v>3579</v>
      </c>
      <c r="C151" t="s">
        <v>3580</v>
      </c>
      <c r="D151" t="s">
        <v>3593</v>
      </c>
      <c r="E151" t="s">
        <v>3594</v>
      </c>
      <c r="F151" t="s">
        <v>3206</v>
      </c>
      <c r="G151" t="s">
        <v>3595</v>
      </c>
    </row>
    <row r="152" spans="1:7" ht="11.25" customHeight="1">
      <c r="A152" s="310" t="s">
        <v>16</v>
      </c>
      <c r="B152" t="s">
        <v>3579</v>
      </c>
      <c r="C152" t="s">
        <v>3580</v>
      </c>
      <c r="D152" t="s">
        <v>3579</v>
      </c>
      <c r="E152" t="s">
        <v>3580</v>
      </c>
      <c r="F152" t="s">
        <v>3207</v>
      </c>
      <c r="G152" t="s">
        <v>3596</v>
      </c>
    </row>
    <row r="153" spans="1:7" ht="11.25" customHeight="1">
      <c r="A153" s="310" t="s">
        <v>16</v>
      </c>
      <c r="B153" t="s">
        <v>3579</v>
      </c>
      <c r="C153" t="s">
        <v>3580</v>
      </c>
      <c r="D153" t="s">
        <v>3597</v>
      </c>
      <c r="E153" t="s">
        <v>3598</v>
      </c>
      <c r="F153" t="s">
        <v>3206</v>
      </c>
      <c r="G153" t="s">
        <v>3599</v>
      </c>
    </row>
    <row r="154" spans="1:7" ht="11.25" customHeight="1">
      <c r="A154" s="310" t="s">
        <v>16</v>
      </c>
      <c r="B154" t="s">
        <v>3579</v>
      </c>
      <c r="C154" t="s">
        <v>3580</v>
      </c>
      <c r="D154" t="s">
        <v>3600</v>
      </c>
      <c r="E154" t="s">
        <v>3601</v>
      </c>
      <c r="F154" t="s">
        <v>3222</v>
      </c>
      <c r="G154" t="s">
        <v>3602</v>
      </c>
    </row>
    <row r="155" spans="1:7" ht="11.25" customHeight="1">
      <c r="A155" s="310" t="s">
        <v>16</v>
      </c>
      <c r="B155" t="s">
        <v>3579</v>
      </c>
      <c r="C155" t="s">
        <v>3580</v>
      </c>
      <c r="D155" t="s">
        <v>3603</v>
      </c>
      <c r="E155" t="s">
        <v>3604</v>
      </c>
      <c r="F155" t="s">
        <v>3206</v>
      </c>
      <c r="G155" t="s">
        <v>3605</v>
      </c>
    </row>
    <row r="156" spans="1:7" ht="11.25" customHeight="1">
      <c r="A156" s="310" t="s">
        <v>16</v>
      </c>
      <c r="B156" t="s">
        <v>3579</v>
      </c>
      <c r="C156" t="s">
        <v>3580</v>
      </c>
      <c r="D156" t="s">
        <v>3291</v>
      </c>
      <c r="E156" t="s">
        <v>3606</v>
      </c>
      <c r="F156" t="s">
        <v>3206</v>
      </c>
      <c r="G156" t="s">
        <v>3607</v>
      </c>
    </row>
    <row r="157" spans="1:7" ht="11.25" customHeight="1">
      <c r="A157" s="310" t="s">
        <v>16</v>
      </c>
      <c r="B157" t="s">
        <v>3579</v>
      </c>
      <c r="C157" t="s">
        <v>3580</v>
      </c>
      <c r="D157" t="s">
        <v>3608</v>
      </c>
      <c r="E157" t="s">
        <v>3609</v>
      </c>
      <c r="F157" t="s">
        <v>3206</v>
      </c>
      <c r="G157" t="s">
        <v>3610</v>
      </c>
    </row>
    <row r="158" spans="1:7" ht="11.25" customHeight="1">
      <c r="A158" s="310" t="s">
        <v>16</v>
      </c>
      <c r="B158" t="s">
        <v>3611</v>
      </c>
      <c r="C158" t="s">
        <v>3612</v>
      </c>
      <c r="D158" t="s">
        <v>3613</v>
      </c>
      <c r="E158" t="s">
        <v>3614</v>
      </c>
      <c r="F158" t="s">
        <v>3206</v>
      </c>
      <c r="G158" t="s">
        <v>3615</v>
      </c>
    </row>
    <row r="159" spans="1:7" ht="11.25" customHeight="1">
      <c r="A159" s="310" t="s">
        <v>16</v>
      </c>
      <c r="B159" t="s">
        <v>3611</v>
      </c>
      <c r="C159" t="s">
        <v>3612</v>
      </c>
      <c r="D159" t="s">
        <v>3616</v>
      </c>
      <c r="E159" t="s">
        <v>3617</v>
      </c>
      <c r="F159" t="s">
        <v>3206</v>
      </c>
      <c r="G159" t="s">
        <v>3618</v>
      </c>
    </row>
    <row r="160" spans="1:7" ht="11.25" customHeight="1">
      <c r="A160" s="310" t="s">
        <v>16</v>
      </c>
      <c r="B160" t="s">
        <v>3611</v>
      </c>
      <c r="C160" t="s">
        <v>3612</v>
      </c>
      <c r="D160" t="s">
        <v>3216</v>
      </c>
      <c r="E160" t="s">
        <v>3619</v>
      </c>
      <c r="F160" t="s">
        <v>3206</v>
      </c>
      <c r="G160" t="s">
        <v>3620</v>
      </c>
    </row>
    <row r="161" spans="1:7" ht="11.25" customHeight="1">
      <c r="A161" s="310" t="s">
        <v>16</v>
      </c>
      <c r="B161" t="s">
        <v>3611</v>
      </c>
      <c r="C161" t="s">
        <v>3612</v>
      </c>
      <c r="D161" t="s">
        <v>3621</v>
      </c>
      <c r="E161" t="s">
        <v>3622</v>
      </c>
      <c r="F161" t="s">
        <v>3206</v>
      </c>
      <c r="G161" t="s">
        <v>3623</v>
      </c>
    </row>
    <row r="162" spans="1:7" ht="11.25" customHeight="1">
      <c r="A162" s="310" t="s">
        <v>16</v>
      </c>
      <c r="B162" t="s">
        <v>3611</v>
      </c>
      <c r="C162" t="s">
        <v>3612</v>
      </c>
      <c r="D162" t="s">
        <v>3611</v>
      </c>
      <c r="E162" t="s">
        <v>3612</v>
      </c>
      <c r="F162" t="s">
        <v>3207</v>
      </c>
      <c r="G162" t="s">
        <v>3624</v>
      </c>
    </row>
    <row r="163" spans="1:7" ht="11.25" customHeight="1">
      <c r="A163" s="310" t="s">
        <v>16</v>
      </c>
      <c r="B163" t="s">
        <v>3611</v>
      </c>
      <c r="C163" t="s">
        <v>3612</v>
      </c>
      <c r="D163" t="s">
        <v>3625</v>
      </c>
      <c r="E163" t="s">
        <v>3626</v>
      </c>
      <c r="F163" t="s">
        <v>3206</v>
      </c>
      <c r="G163" t="s">
        <v>3627</v>
      </c>
    </row>
    <row r="164" spans="1:7" ht="11.25" customHeight="1">
      <c r="A164" s="310" t="s">
        <v>16</v>
      </c>
      <c r="B164" t="s">
        <v>3611</v>
      </c>
      <c r="C164" t="s">
        <v>3612</v>
      </c>
      <c r="D164" t="s">
        <v>3628</v>
      </c>
      <c r="E164" t="s">
        <v>3629</v>
      </c>
      <c r="F164" t="s">
        <v>3206</v>
      </c>
      <c r="G164" t="s">
        <v>3630</v>
      </c>
    </row>
    <row r="165" spans="1:7" ht="11.25" customHeight="1">
      <c r="A165" s="310" t="s">
        <v>16</v>
      </c>
      <c r="B165" t="s">
        <v>3631</v>
      </c>
      <c r="C165" t="s">
        <v>3632</v>
      </c>
      <c r="D165" t="s">
        <v>3633</v>
      </c>
      <c r="E165" t="s">
        <v>3634</v>
      </c>
      <c r="F165" t="s">
        <v>3206</v>
      </c>
      <c r="G165" t="s">
        <v>3635</v>
      </c>
    </row>
    <row r="166" spans="1:7" ht="11.25" customHeight="1">
      <c r="A166" s="310" t="s">
        <v>16</v>
      </c>
      <c r="B166" t="s">
        <v>3631</v>
      </c>
      <c r="C166" t="s">
        <v>3632</v>
      </c>
      <c r="D166" t="s">
        <v>3636</v>
      </c>
      <c r="E166" t="s">
        <v>3637</v>
      </c>
      <c r="F166" t="s">
        <v>3206</v>
      </c>
      <c r="G166" t="s">
        <v>3638</v>
      </c>
    </row>
    <row r="167" spans="1:7" ht="11.25" customHeight="1">
      <c r="A167" s="310" t="s">
        <v>16</v>
      </c>
      <c r="B167" t="s">
        <v>3631</v>
      </c>
      <c r="C167" t="s">
        <v>3632</v>
      </c>
      <c r="D167" t="s">
        <v>101</v>
      </c>
      <c r="E167" t="s">
        <v>3639</v>
      </c>
      <c r="F167" t="s">
        <v>3206</v>
      </c>
      <c r="G167" t="s">
        <v>3640</v>
      </c>
    </row>
    <row r="168" spans="1:7" ht="11.25" customHeight="1">
      <c r="A168" s="310" t="s">
        <v>16</v>
      </c>
      <c r="B168" t="s">
        <v>3631</v>
      </c>
      <c r="C168" t="s">
        <v>3632</v>
      </c>
      <c r="D168" t="s">
        <v>3631</v>
      </c>
      <c r="E168" t="s">
        <v>3632</v>
      </c>
      <c r="F168" t="s">
        <v>3207</v>
      </c>
      <c r="G168" t="s">
        <v>3641</v>
      </c>
    </row>
    <row r="169" spans="1:7" ht="11.25" customHeight="1">
      <c r="A169" s="310" t="s">
        <v>16</v>
      </c>
      <c r="B169" t="s">
        <v>3631</v>
      </c>
      <c r="C169" t="s">
        <v>3632</v>
      </c>
      <c r="D169" t="s">
        <v>3642</v>
      </c>
      <c r="E169" t="s">
        <v>3643</v>
      </c>
      <c r="F169" t="s">
        <v>3206</v>
      </c>
      <c r="G169" t="s">
        <v>3644</v>
      </c>
    </row>
    <row r="170" spans="1:7" ht="11.25" customHeight="1">
      <c r="A170" s="310" t="s">
        <v>16</v>
      </c>
      <c r="B170" t="s">
        <v>3631</v>
      </c>
      <c r="C170" t="s">
        <v>3632</v>
      </c>
      <c r="D170" t="s">
        <v>3645</v>
      </c>
      <c r="E170" t="s">
        <v>3646</v>
      </c>
      <c r="F170" t="s">
        <v>3206</v>
      </c>
      <c r="G170" t="s">
        <v>3647</v>
      </c>
    </row>
    <row r="171" spans="1:7" ht="11.25" customHeight="1">
      <c r="A171" s="310" t="s">
        <v>16</v>
      </c>
      <c r="B171" t="s">
        <v>3631</v>
      </c>
      <c r="C171" t="s">
        <v>3632</v>
      </c>
      <c r="D171" t="s">
        <v>3648</v>
      </c>
      <c r="E171" t="s">
        <v>3649</v>
      </c>
      <c r="F171" t="s">
        <v>3222</v>
      </c>
      <c r="G171" t="s">
        <v>3650</v>
      </c>
    </row>
    <row r="172" spans="1:7" ht="11.25" customHeight="1">
      <c r="A172" s="310" t="s">
        <v>16</v>
      </c>
      <c r="B172" t="s">
        <v>3631</v>
      </c>
      <c r="C172" t="s">
        <v>3632</v>
      </c>
      <c r="D172" t="s">
        <v>3651</v>
      </c>
      <c r="E172" t="s">
        <v>3652</v>
      </c>
      <c r="F172" t="s">
        <v>3206</v>
      </c>
      <c r="G172" t="s">
        <v>3653</v>
      </c>
    </row>
    <row r="173" spans="1:7" ht="11.25" customHeight="1">
      <c r="A173" s="310" t="s">
        <v>16</v>
      </c>
      <c r="B173" t="s">
        <v>3631</v>
      </c>
      <c r="C173" t="s">
        <v>3632</v>
      </c>
      <c r="D173" t="s">
        <v>3654</v>
      </c>
      <c r="E173" t="s">
        <v>3655</v>
      </c>
      <c r="F173" t="s">
        <v>3206</v>
      </c>
      <c r="G173" t="s">
        <v>3656</v>
      </c>
    </row>
    <row r="174" spans="1:7" ht="11.25" customHeight="1">
      <c r="A174" s="310" t="s">
        <v>16</v>
      </c>
      <c r="B174" t="s">
        <v>3631</v>
      </c>
      <c r="C174" t="s">
        <v>3632</v>
      </c>
      <c r="D174" t="s">
        <v>3657</v>
      </c>
      <c r="E174" t="s">
        <v>3658</v>
      </c>
      <c r="F174" t="s">
        <v>3206</v>
      </c>
      <c r="G174" t="s">
        <v>3659</v>
      </c>
    </row>
    <row r="175" spans="1:7" ht="11.25" customHeight="1">
      <c r="A175" s="310" t="s">
        <v>16</v>
      </c>
      <c r="B175" t="s">
        <v>3631</v>
      </c>
      <c r="C175" t="s">
        <v>3632</v>
      </c>
      <c r="D175" t="s">
        <v>3660</v>
      </c>
      <c r="E175" t="s">
        <v>3661</v>
      </c>
      <c r="F175" t="s">
        <v>3206</v>
      </c>
      <c r="G175" t="s">
        <v>3662</v>
      </c>
    </row>
    <row r="176" spans="1:7" ht="11.25" customHeight="1">
      <c r="A176" s="310" t="s">
        <v>16</v>
      </c>
      <c r="B176" t="s">
        <v>3631</v>
      </c>
      <c r="C176" t="s">
        <v>3632</v>
      </c>
      <c r="D176" t="s">
        <v>3663</v>
      </c>
      <c r="E176" t="s">
        <v>3664</v>
      </c>
      <c r="F176" t="s">
        <v>3206</v>
      </c>
      <c r="G176" t="s">
        <v>3665</v>
      </c>
    </row>
    <row r="177" spans="1:7" ht="11.25" customHeight="1">
      <c r="A177" s="310" t="s">
        <v>16</v>
      </c>
      <c r="B177" t="s">
        <v>3631</v>
      </c>
      <c r="C177" t="s">
        <v>3632</v>
      </c>
      <c r="D177" t="s">
        <v>3666</v>
      </c>
      <c r="E177" t="s">
        <v>3667</v>
      </c>
      <c r="F177" t="s">
        <v>3206</v>
      </c>
      <c r="G177" t="s">
        <v>3668</v>
      </c>
    </row>
    <row r="178" spans="1:7" ht="11.25" customHeight="1">
      <c r="A178" s="310" t="s">
        <v>16</v>
      </c>
      <c r="B178" t="s">
        <v>3631</v>
      </c>
      <c r="C178" t="s">
        <v>3632</v>
      </c>
      <c r="D178" t="s">
        <v>3669</v>
      </c>
      <c r="E178" t="s">
        <v>3670</v>
      </c>
      <c r="F178" t="s">
        <v>3206</v>
      </c>
      <c r="G178" t="s">
        <v>3671</v>
      </c>
    </row>
    <row r="179" spans="1:7" ht="11.25" customHeight="1">
      <c r="A179" s="310" t="s">
        <v>16</v>
      </c>
      <c r="B179" t="s">
        <v>3672</v>
      </c>
      <c r="C179" t="s">
        <v>3673</v>
      </c>
      <c r="D179" t="s">
        <v>3674</v>
      </c>
      <c r="E179" t="s">
        <v>3675</v>
      </c>
      <c r="F179" t="s">
        <v>3206</v>
      </c>
      <c r="G179" t="s">
        <v>3676</v>
      </c>
    </row>
    <row r="180" spans="1:7" ht="11.25" customHeight="1">
      <c r="A180" s="310" t="s">
        <v>16</v>
      </c>
      <c r="B180" t="s">
        <v>3672</v>
      </c>
      <c r="C180" t="s">
        <v>3673</v>
      </c>
      <c r="D180" t="s">
        <v>3677</v>
      </c>
      <c r="E180" t="s">
        <v>3678</v>
      </c>
      <c r="F180" t="s">
        <v>3206</v>
      </c>
      <c r="G180" t="s">
        <v>3679</v>
      </c>
    </row>
    <row r="181" spans="1:7" ht="11.25" customHeight="1">
      <c r="A181" s="310" t="s">
        <v>16</v>
      </c>
      <c r="B181" t="s">
        <v>3672</v>
      </c>
      <c r="C181" t="s">
        <v>3673</v>
      </c>
      <c r="D181" t="s">
        <v>3680</v>
      </c>
      <c r="E181" t="s">
        <v>3681</v>
      </c>
      <c r="F181" t="s">
        <v>3206</v>
      </c>
      <c r="G181" t="s">
        <v>3682</v>
      </c>
    </row>
    <row r="182" spans="1:7" ht="11.25" customHeight="1">
      <c r="A182" s="310" t="s">
        <v>16</v>
      </c>
      <c r="B182" t="s">
        <v>3672</v>
      </c>
      <c r="C182" t="s">
        <v>3673</v>
      </c>
      <c r="D182" t="s">
        <v>3683</v>
      </c>
      <c r="E182" t="s">
        <v>3684</v>
      </c>
      <c r="F182" t="s">
        <v>3206</v>
      </c>
      <c r="G182" t="s">
        <v>3685</v>
      </c>
    </row>
    <row r="183" spans="1:7" ht="11.25" customHeight="1">
      <c r="A183" s="310" t="s">
        <v>16</v>
      </c>
      <c r="B183" t="s">
        <v>3672</v>
      </c>
      <c r="C183" t="s">
        <v>3673</v>
      </c>
      <c r="D183" t="s">
        <v>3686</v>
      </c>
      <c r="E183" t="s">
        <v>3687</v>
      </c>
      <c r="F183" t="s">
        <v>3206</v>
      </c>
      <c r="G183" t="s">
        <v>3688</v>
      </c>
    </row>
    <row r="184" spans="1:7" ht="11.25" customHeight="1">
      <c r="A184" s="310" t="s">
        <v>16</v>
      </c>
      <c r="B184" t="s">
        <v>3672</v>
      </c>
      <c r="C184" t="s">
        <v>3673</v>
      </c>
      <c r="D184" t="s">
        <v>3689</v>
      </c>
      <c r="E184" t="s">
        <v>3690</v>
      </c>
      <c r="F184" t="s">
        <v>3206</v>
      </c>
      <c r="G184" t="s">
        <v>3691</v>
      </c>
    </row>
    <row r="185" spans="1:7" ht="11.25" customHeight="1">
      <c r="A185" s="310" t="s">
        <v>16</v>
      </c>
      <c r="B185" t="s">
        <v>3672</v>
      </c>
      <c r="C185" t="s">
        <v>3673</v>
      </c>
      <c r="D185" t="s">
        <v>3672</v>
      </c>
      <c r="E185" t="s">
        <v>3673</v>
      </c>
      <c r="F185" t="s">
        <v>3207</v>
      </c>
      <c r="G185" t="s">
        <v>3692</v>
      </c>
    </row>
    <row r="186" spans="1:7" ht="11.25" customHeight="1">
      <c r="A186" s="310" t="s">
        <v>16</v>
      </c>
      <c r="B186" t="s">
        <v>3672</v>
      </c>
      <c r="C186" t="s">
        <v>3673</v>
      </c>
      <c r="D186" t="s">
        <v>3693</v>
      </c>
      <c r="E186" t="s">
        <v>3694</v>
      </c>
      <c r="F186" t="s">
        <v>3206</v>
      </c>
      <c r="G186" t="s">
        <v>3695</v>
      </c>
    </row>
    <row r="187" spans="1:7" ht="11.25" customHeight="1">
      <c r="A187" s="310" t="s">
        <v>16</v>
      </c>
      <c r="B187" t="s">
        <v>3672</v>
      </c>
      <c r="C187" t="s">
        <v>3673</v>
      </c>
      <c r="D187" t="s">
        <v>3696</v>
      </c>
      <c r="E187" t="s">
        <v>3697</v>
      </c>
      <c r="F187" t="s">
        <v>3206</v>
      </c>
      <c r="G187" t="s">
        <v>3698</v>
      </c>
    </row>
    <row r="188" spans="1:7" ht="11.25" customHeight="1">
      <c r="A188" s="310" t="s">
        <v>16</v>
      </c>
      <c r="B188" t="s">
        <v>3672</v>
      </c>
      <c r="C188" t="s">
        <v>3673</v>
      </c>
      <c r="D188" t="s">
        <v>3699</v>
      </c>
      <c r="E188" t="s">
        <v>3700</v>
      </c>
      <c r="F188" t="s">
        <v>3206</v>
      </c>
      <c r="G188" t="s">
        <v>3701</v>
      </c>
    </row>
    <row r="189" spans="1:7" ht="11.25" customHeight="1">
      <c r="A189" s="310" t="s">
        <v>16</v>
      </c>
      <c r="B189" t="s">
        <v>3672</v>
      </c>
      <c r="C189" t="s">
        <v>3673</v>
      </c>
      <c r="D189" t="s">
        <v>3702</v>
      </c>
      <c r="E189" t="s">
        <v>3703</v>
      </c>
      <c r="F189" t="s">
        <v>3206</v>
      </c>
      <c r="G189" t="s">
        <v>3704</v>
      </c>
    </row>
    <row r="190" spans="1:7" ht="11.25" customHeight="1">
      <c r="A190" s="310" t="s">
        <v>16</v>
      </c>
      <c r="B190" t="s">
        <v>3672</v>
      </c>
      <c r="C190" t="s">
        <v>3673</v>
      </c>
      <c r="D190" t="s">
        <v>3705</v>
      </c>
      <c r="E190" t="s">
        <v>3706</v>
      </c>
      <c r="F190" t="s">
        <v>3206</v>
      </c>
      <c r="G190" t="s">
        <v>3707</v>
      </c>
    </row>
    <row r="191" spans="1:7" ht="11.25" customHeight="1">
      <c r="A191" s="310" t="s">
        <v>16</v>
      </c>
      <c r="B191" t="s">
        <v>3672</v>
      </c>
      <c r="C191" t="s">
        <v>3673</v>
      </c>
      <c r="D191" t="s">
        <v>3708</v>
      </c>
      <c r="E191" t="s">
        <v>3709</v>
      </c>
      <c r="F191" t="s">
        <v>3206</v>
      </c>
      <c r="G191" t="s">
        <v>3710</v>
      </c>
    </row>
    <row r="192" spans="1:7" ht="11.25" customHeight="1">
      <c r="A192" s="310" t="s">
        <v>16</v>
      </c>
      <c r="B192" t="s">
        <v>3672</v>
      </c>
      <c r="C192" t="s">
        <v>3673</v>
      </c>
      <c r="D192" t="s">
        <v>3711</v>
      </c>
      <c r="E192" t="s">
        <v>3712</v>
      </c>
      <c r="F192" t="s">
        <v>3206</v>
      </c>
      <c r="G192" t="s">
        <v>3713</v>
      </c>
    </row>
    <row r="193" spans="1:7" ht="11.25" customHeight="1">
      <c r="A193" s="310" t="s">
        <v>16</v>
      </c>
      <c r="B193" t="s">
        <v>3714</v>
      </c>
      <c r="C193" t="s">
        <v>3715</v>
      </c>
      <c r="D193" t="s">
        <v>3716</v>
      </c>
      <c r="E193" t="s">
        <v>3717</v>
      </c>
      <c r="F193" t="s">
        <v>3206</v>
      </c>
      <c r="G193" t="s">
        <v>3718</v>
      </c>
    </row>
    <row r="194" spans="1:7" ht="11.25" customHeight="1">
      <c r="A194" s="310" t="s">
        <v>16</v>
      </c>
      <c r="B194" t="s">
        <v>3714</v>
      </c>
      <c r="C194" t="s">
        <v>3715</v>
      </c>
      <c r="D194" t="s">
        <v>3474</v>
      </c>
      <c r="E194" t="s">
        <v>3719</v>
      </c>
      <c r="F194" t="s">
        <v>3206</v>
      </c>
      <c r="G194" t="s">
        <v>3720</v>
      </c>
    </row>
    <row r="195" spans="1:7" ht="11.25" customHeight="1">
      <c r="A195" s="310" t="s">
        <v>16</v>
      </c>
      <c r="B195" t="s">
        <v>3714</v>
      </c>
      <c r="C195" t="s">
        <v>3715</v>
      </c>
      <c r="D195" t="s">
        <v>3721</v>
      </c>
      <c r="E195" t="s">
        <v>3722</v>
      </c>
      <c r="F195" t="s">
        <v>3206</v>
      </c>
      <c r="G195" t="s">
        <v>3723</v>
      </c>
    </row>
    <row r="196" spans="1:7" ht="11.25" customHeight="1">
      <c r="A196" s="310" t="s">
        <v>16</v>
      </c>
      <c r="B196" t="s">
        <v>3714</v>
      </c>
      <c r="C196" t="s">
        <v>3715</v>
      </c>
      <c r="D196" t="s">
        <v>3724</v>
      </c>
      <c r="E196" t="s">
        <v>3725</v>
      </c>
      <c r="F196" t="s">
        <v>3206</v>
      </c>
      <c r="G196" t="s">
        <v>3726</v>
      </c>
    </row>
    <row r="197" spans="1:7" ht="11.25" customHeight="1">
      <c r="A197" s="310" t="s">
        <v>16</v>
      </c>
      <c r="B197" t="s">
        <v>3714</v>
      </c>
      <c r="C197" t="s">
        <v>3715</v>
      </c>
      <c r="D197" t="s">
        <v>3727</v>
      </c>
      <c r="E197" t="s">
        <v>3728</v>
      </c>
      <c r="F197" t="s">
        <v>3206</v>
      </c>
      <c r="G197" t="s">
        <v>3729</v>
      </c>
    </row>
    <row r="198" spans="1:7" ht="11.25" customHeight="1">
      <c r="A198" s="310" t="s">
        <v>16</v>
      </c>
      <c r="B198" t="s">
        <v>3714</v>
      </c>
      <c r="C198" t="s">
        <v>3715</v>
      </c>
      <c r="D198" t="s">
        <v>3730</v>
      </c>
      <c r="E198" t="s">
        <v>3731</v>
      </c>
      <c r="F198" t="s">
        <v>3206</v>
      </c>
      <c r="G198" t="s">
        <v>3732</v>
      </c>
    </row>
    <row r="199" spans="1:7" ht="11.25" customHeight="1">
      <c r="A199" s="310" t="s">
        <v>16</v>
      </c>
      <c r="B199" t="s">
        <v>3714</v>
      </c>
      <c r="C199" t="s">
        <v>3715</v>
      </c>
      <c r="D199" t="s">
        <v>3733</v>
      </c>
      <c r="E199" t="s">
        <v>3734</v>
      </c>
      <c r="F199" t="s">
        <v>3206</v>
      </c>
      <c r="G199" t="s">
        <v>3735</v>
      </c>
    </row>
    <row r="200" spans="1:7" ht="11.25" customHeight="1">
      <c r="A200" s="310" t="s">
        <v>16</v>
      </c>
      <c r="B200" t="s">
        <v>3714</v>
      </c>
      <c r="C200" t="s">
        <v>3715</v>
      </c>
      <c r="D200" t="s">
        <v>3736</v>
      </c>
      <c r="E200" t="s">
        <v>3737</v>
      </c>
      <c r="F200" t="s">
        <v>3206</v>
      </c>
      <c r="G200" t="s">
        <v>3738</v>
      </c>
    </row>
    <row r="201" spans="1:7" ht="11.25" customHeight="1">
      <c r="A201" s="310" t="s">
        <v>16</v>
      </c>
      <c r="B201" t="s">
        <v>3714</v>
      </c>
      <c r="C201" t="s">
        <v>3715</v>
      </c>
      <c r="D201" t="s">
        <v>3739</v>
      </c>
      <c r="E201" t="s">
        <v>3740</v>
      </c>
      <c r="F201" t="s">
        <v>3206</v>
      </c>
      <c r="G201" t="s">
        <v>3741</v>
      </c>
    </row>
    <row r="202" spans="1:7" ht="11.25" customHeight="1">
      <c r="A202" s="310" t="s">
        <v>16</v>
      </c>
      <c r="B202" t="s">
        <v>3714</v>
      </c>
      <c r="C202" t="s">
        <v>3715</v>
      </c>
      <c r="D202" t="s">
        <v>3742</v>
      </c>
      <c r="E202" t="s">
        <v>3743</v>
      </c>
      <c r="F202" t="s">
        <v>3206</v>
      </c>
      <c r="G202" t="s">
        <v>3744</v>
      </c>
    </row>
    <row r="203" spans="1:7" ht="11.25" customHeight="1">
      <c r="A203" s="310" t="s">
        <v>16</v>
      </c>
      <c r="B203" t="s">
        <v>3714</v>
      </c>
      <c r="C203" t="s">
        <v>3715</v>
      </c>
      <c r="D203" t="s">
        <v>3714</v>
      </c>
      <c r="E203" t="s">
        <v>3715</v>
      </c>
      <c r="F203" t="s">
        <v>3207</v>
      </c>
      <c r="G203" t="s">
        <v>3745</v>
      </c>
    </row>
    <row r="204" spans="1:7" ht="11.25" customHeight="1">
      <c r="A204" s="310" t="s">
        <v>16</v>
      </c>
      <c r="B204" t="s">
        <v>3714</v>
      </c>
      <c r="C204" t="s">
        <v>3715</v>
      </c>
      <c r="D204" t="s">
        <v>3746</v>
      </c>
      <c r="E204" t="s">
        <v>3747</v>
      </c>
      <c r="F204" t="s">
        <v>3206</v>
      </c>
      <c r="G204" t="s">
        <v>3748</v>
      </c>
    </row>
    <row r="205" spans="1:7" ht="11.25" customHeight="1">
      <c r="A205" s="310" t="s">
        <v>16</v>
      </c>
      <c r="B205" t="s">
        <v>3714</v>
      </c>
      <c r="C205" t="s">
        <v>3715</v>
      </c>
      <c r="D205" t="s">
        <v>3749</v>
      </c>
      <c r="E205" t="s">
        <v>3750</v>
      </c>
      <c r="F205" t="s">
        <v>3206</v>
      </c>
      <c r="G205" t="s">
        <v>3751</v>
      </c>
    </row>
    <row r="206" spans="1:7" ht="11.25" customHeight="1">
      <c r="A206" s="310" t="s">
        <v>16</v>
      </c>
      <c r="B206" t="s">
        <v>3714</v>
      </c>
      <c r="C206" t="s">
        <v>3715</v>
      </c>
      <c r="D206" t="s">
        <v>3752</v>
      </c>
      <c r="E206" t="s">
        <v>3753</v>
      </c>
      <c r="F206" t="s">
        <v>3206</v>
      </c>
      <c r="G206" t="s">
        <v>3754</v>
      </c>
    </row>
    <row r="207" spans="1:7" ht="11.25" customHeight="1">
      <c r="A207" s="310" t="s">
        <v>16</v>
      </c>
      <c r="B207" t="s">
        <v>3714</v>
      </c>
      <c r="C207" t="s">
        <v>3715</v>
      </c>
      <c r="D207" t="s">
        <v>3755</v>
      </c>
      <c r="E207" t="s">
        <v>3756</v>
      </c>
      <c r="F207" t="s">
        <v>3206</v>
      </c>
      <c r="G207" t="s">
        <v>3757</v>
      </c>
    </row>
    <row r="208" spans="1:7" ht="11.25" customHeight="1">
      <c r="A208" s="310" t="s">
        <v>16</v>
      </c>
      <c r="B208" t="s">
        <v>3714</v>
      </c>
      <c r="C208" t="s">
        <v>3715</v>
      </c>
      <c r="D208" t="s">
        <v>3758</v>
      </c>
      <c r="E208" t="s">
        <v>3759</v>
      </c>
      <c r="F208" t="s">
        <v>3206</v>
      </c>
      <c r="G208" t="s">
        <v>3760</v>
      </c>
    </row>
    <row r="209" spans="1:7" ht="11.25" customHeight="1">
      <c r="A209" s="310" t="s">
        <v>16</v>
      </c>
      <c r="B209" t="s">
        <v>3761</v>
      </c>
      <c r="C209" t="s">
        <v>3762</v>
      </c>
      <c r="D209" t="s">
        <v>3763</v>
      </c>
      <c r="E209" t="s">
        <v>3764</v>
      </c>
      <c r="F209" t="s">
        <v>3206</v>
      </c>
      <c r="G209" t="s">
        <v>3765</v>
      </c>
    </row>
    <row r="210" spans="1:7" ht="11.25" customHeight="1">
      <c r="A210" s="310" t="s">
        <v>16</v>
      </c>
      <c r="B210" t="s">
        <v>3761</v>
      </c>
      <c r="C210" t="s">
        <v>3762</v>
      </c>
      <c r="D210" t="s">
        <v>3766</v>
      </c>
      <c r="E210" t="s">
        <v>3767</v>
      </c>
      <c r="F210" t="s">
        <v>3206</v>
      </c>
      <c r="G210" t="s">
        <v>3768</v>
      </c>
    </row>
    <row r="211" spans="1:7" ht="11.25" customHeight="1">
      <c r="A211" s="310" t="s">
        <v>16</v>
      </c>
      <c r="B211" t="s">
        <v>3761</v>
      </c>
      <c r="C211" t="s">
        <v>3762</v>
      </c>
      <c r="D211" t="s">
        <v>3769</v>
      </c>
      <c r="E211" t="s">
        <v>3770</v>
      </c>
      <c r="F211" t="s">
        <v>3206</v>
      </c>
      <c r="G211" t="s">
        <v>3771</v>
      </c>
    </row>
    <row r="212" spans="1:7" ht="11.25" customHeight="1">
      <c r="A212" s="310" t="s">
        <v>16</v>
      </c>
      <c r="B212" t="s">
        <v>3761</v>
      </c>
      <c r="C212" t="s">
        <v>3762</v>
      </c>
      <c r="D212" t="s">
        <v>3772</v>
      </c>
      <c r="E212" t="s">
        <v>3773</v>
      </c>
      <c r="F212" t="s">
        <v>3206</v>
      </c>
      <c r="G212" t="s">
        <v>3774</v>
      </c>
    </row>
    <row r="213" spans="1:7" ht="11.25" customHeight="1">
      <c r="A213" s="310" t="s">
        <v>16</v>
      </c>
      <c r="B213" t="s">
        <v>3761</v>
      </c>
      <c r="C213" t="s">
        <v>3762</v>
      </c>
      <c r="D213" t="s">
        <v>3775</v>
      </c>
      <c r="E213" t="s">
        <v>3776</v>
      </c>
      <c r="F213" t="s">
        <v>3206</v>
      </c>
      <c r="G213" t="s">
        <v>3777</v>
      </c>
    </row>
    <row r="214" spans="1:7" ht="11.25" customHeight="1">
      <c r="A214" s="310" t="s">
        <v>16</v>
      </c>
      <c r="B214" t="s">
        <v>3761</v>
      </c>
      <c r="C214" t="s">
        <v>3762</v>
      </c>
      <c r="D214" t="s">
        <v>3778</v>
      </c>
      <c r="E214" t="s">
        <v>3779</v>
      </c>
      <c r="F214" t="s">
        <v>3257</v>
      </c>
      <c r="G214" t="s">
        <v>3780</v>
      </c>
    </row>
    <row r="215" spans="1:7" ht="11.25" customHeight="1">
      <c r="A215" s="310" t="s">
        <v>16</v>
      </c>
      <c r="B215" t="s">
        <v>3761</v>
      </c>
      <c r="C215" t="s">
        <v>3762</v>
      </c>
      <c r="D215" t="s">
        <v>3781</v>
      </c>
      <c r="E215" t="s">
        <v>3782</v>
      </c>
      <c r="F215" t="s">
        <v>3206</v>
      </c>
      <c r="G215" t="s">
        <v>3783</v>
      </c>
    </row>
    <row r="216" spans="1:7" ht="11.25" customHeight="1">
      <c r="A216" s="310" t="s">
        <v>16</v>
      </c>
      <c r="B216" t="s">
        <v>3761</v>
      </c>
      <c r="C216" t="s">
        <v>3762</v>
      </c>
      <c r="D216" t="s">
        <v>3784</v>
      </c>
      <c r="E216" t="s">
        <v>3785</v>
      </c>
      <c r="F216" t="s">
        <v>3206</v>
      </c>
      <c r="G216" t="s">
        <v>3786</v>
      </c>
    </row>
    <row r="217" spans="1:7" ht="11.25" customHeight="1">
      <c r="A217" s="310" t="s">
        <v>16</v>
      </c>
      <c r="B217" t="s">
        <v>3761</v>
      </c>
      <c r="C217" t="s">
        <v>3762</v>
      </c>
      <c r="D217" t="s">
        <v>3761</v>
      </c>
      <c r="E217" t="s">
        <v>3762</v>
      </c>
      <c r="F217" t="s">
        <v>3207</v>
      </c>
      <c r="G217" t="s">
        <v>3787</v>
      </c>
    </row>
    <row r="218" spans="1:7" ht="11.25" customHeight="1">
      <c r="A218" s="310" t="s">
        <v>16</v>
      </c>
      <c r="B218" t="s">
        <v>3761</v>
      </c>
      <c r="C218" t="s">
        <v>3762</v>
      </c>
      <c r="D218" t="s">
        <v>3788</v>
      </c>
      <c r="E218" t="s">
        <v>3789</v>
      </c>
      <c r="F218" t="s">
        <v>3206</v>
      </c>
      <c r="G218" t="s">
        <v>3790</v>
      </c>
    </row>
    <row r="219" spans="1:7" ht="11.25" customHeight="1">
      <c r="A219" s="310" t="s">
        <v>16</v>
      </c>
      <c r="B219" t="s">
        <v>3761</v>
      </c>
      <c r="C219" t="s">
        <v>3762</v>
      </c>
      <c r="D219" t="s">
        <v>3791</v>
      </c>
      <c r="E219" t="s">
        <v>3792</v>
      </c>
      <c r="F219" t="s">
        <v>3206</v>
      </c>
      <c r="G219" t="s">
        <v>3793</v>
      </c>
    </row>
    <row r="220" spans="1:7" ht="11.25" customHeight="1">
      <c r="A220" s="310" t="s">
        <v>16</v>
      </c>
      <c r="B220" t="s">
        <v>3761</v>
      </c>
      <c r="C220" t="s">
        <v>3762</v>
      </c>
      <c r="D220" t="s">
        <v>3794</v>
      </c>
      <c r="E220" t="s">
        <v>3795</v>
      </c>
      <c r="F220" t="s">
        <v>3206</v>
      </c>
      <c r="G220" t="s">
        <v>3796</v>
      </c>
    </row>
    <row r="221" spans="1:7" ht="11.25" customHeight="1">
      <c r="A221" s="310" t="s">
        <v>16</v>
      </c>
      <c r="B221" t="s">
        <v>3797</v>
      </c>
      <c r="C221" t="s">
        <v>3798</v>
      </c>
      <c r="D221" t="s">
        <v>3799</v>
      </c>
      <c r="E221" t="s">
        <v>3800</v>
      </c>
      <c r="F221" t="s">
        <v>3206</v>
      </c>
      <c r="G221" t="s">
        <v>3801</v>
      </c>
    </row>
    <row r="222" spans="1:7" ht="11.25" customHeight="1">
      <c r="A222" s="310" t="s">
        <v>16</v>
      </c>
      <c r="B222" t="s">
        <v>3797</v>
      </c>
      <c r="C222" t="s">
        <v>3798</v>
      </c>
      <c r="D222" t="s">
        <v>3802</v>
      </c>
      <c r="E222" t="s">
        <v>3803</v>
      </c>
      <c r="F222" t="s">
        <v>3206</v>
      </c>
      <c r="G222" t="s">
        <v>3804</v>
      </c>
    </row>
    <row r="223" spans="1:7" ht="11.25" customHeight="1">
      <c r="A223" s="310" t="s">
        <v>16</v>
      </c>
      <c r="B223" t="s">
        <v>3797</v>
      </c>
      <c r="C223" t="s">
        <v>3798</v>
      </c>
      <c r="D223" t="s">
        <v>3805</v>
      </c>
      <c r="E223" t="s">
        <v>3806</v>
      </c>
      <c r="F223" t="s">
        <v>3257</v>
      </c>
      <c r="G223" t="s">
        <v>3807</v>
      </c>
    </row>
    <row r="224" spans="1:7" ht="11.25" customHeight="1">
      <c r="A224" s="310" t="s">
        <v>16</v>
      </c>
      <c r="B224" t="s">
        <v>3797</v>
      </c>
      <c r="C224" t="s">
        <v>3798</v>
      </c>
      <c r="D224" t="s">
        <v>3808</v>
      </c>
      <c r="E224" t="s">
        <v>3809</v>
      </c>
      <c r="F224" t="s">
        <v>3206</v>
      </c>
      <c r="G224" t="s">
        <v>3810</v>
      </c>
    </row>
    <row r="225" spans="1:7" ht="11.25" customHeight="1">
      <c r="A225" s="310" t="s">
        <v>16</v>
      </c>
      <c r="B225" t="s">
        <v>3797</v>
      </c>
      <c r="C225" t="s">
        <v>3798</v>
      </c>
      <c r="D225" t="s">
        <v>3811</v>
      </c>
      <c r="E225" t="s">
        <v>3812</v>
      </c>
      <c r="F225" t="s">
        <v>3206</v>
      </c>
      <c r="G225" t="s">
        <v>3813</v>
      </c>
    </row>
    <row r="226" spans="1:7" ht="11.25" customHeight="1">
      <c r="A226" s="310" t="s">
        <v>16</v>
      </c>
      <c r="B226" t="s">
        <v>3797</v>
      </c>
      <c r="C226" t="s">
        <v>3798</v>
      </c>
      <c r="D226" t="s">
        <v>3814</v>
      </c>
      <c r="E226" t="s">
        <v>3815</v>
      </c>
      <c r="F226" t="s">
        <v>3206</v>
      </c>
      <c r="G226" t="s">
        <v>3816</v>
      </c>
    </row>
    <row r="227" spans="1:7" ht="11.25" customHeight="1">
      <c r="A227" s="310" t="s">
        <v>16</v>
      </c>
      <c r="B227" t="s">
        <v>3797</v>
      </c>
      <c r="C227" t="s">
        <v>3798</v>
      </c>
      <c r="D227" t="s">
        <v>3817</v>
      </c>
      <c r="E227" t="s">
        <v>3818</v>
      </c>
      <c r="F227" t="s">
        <v>3206</v>
      </c>
      <c r="G227" t="s">
        <v>3819</v>
      </c>
    </row>
    <row r="228" spans="1:7" ht="11.25" customHeight="1">
      <c r="A228" s="310" t="s">
        <v>16</v>
      </c>
      <c r="B228" t="s">
        <v>3797</v>
      </c>
      <c r="C228" t="s">
        <v>3798</v>
      </c>
      <c r="D228" t="s">
        <v>3820</v>
      </c>
      <c r="E228" t="s">
        <v>3821</v>
      </c>
      <c r="F228" t="s">
        <v>3206</v>
      </c>
      <c r="G228" t="s">
        <v>3822</v>
      </c>
    </row>
    <row r="229" spans="1:7" ht="11.25" customHeight="1">
      <c r="A229" s="310" t="s">
        <v>16</v>
      </c>
      <c r="B229" t="s">
        <v>3797</v>
      </c>
      <c r="C229" t="s">
        <v>3798</v>
      </c>
      <c r="D229" t="s">
        <v>3823</v>
      </c>
      <c r="E229" t="s">
        <v>3824</v>
      </c>
      <c r="F229" t="s">
        <v>3206</v>
      </c>
      <c r="G229" t="s">
        <v>3825</v>
      </c>
    </row>
    <row r="230" spans="1:7" ht="11.25" customHeight="1">
      <c r="A230" s="310" t="s">
        <v>16</v>
      </c>
      <c r="B230" t="s">
        <v>3797</v>
      </c>
      <c r="C230" t="s">
        <v>3798</v>
      </c>
      <c r="D230" t="s">
        <v>3797</v>
      </c>
      <c r="E230" t="s">
        <v>3798</v>
      </c>
      <c r="F230" t="s">
        <v>3207</v>
      </c>
      <c r="G230" t="s">
        <v>3826</v>
      </c>
    </row>
    <row r="231" spans="1:7" ht="11.25" customHeight="1">
      <c r="A231" s="310" t="s">
        <v>16</v>
      </c>
      <c r="B231" t="s">
        <v>3797</v>
      </c>
      <c r="C231" t="s">
        <v>3798</v>
      </c>
      <c r="D231" t="s">
        <v>3827</v>
      </c>
      <c r="E231" t="s">
        <v>3828</v>
      </c>
      <c r="F231" t="s">
        <v>3206</v>
      </c>
      <c r="G231" t="s">
        <v>3829</v>
      </c>
    </row>
    <row r="232" spans="1:7" ht="11.25" customHeight="1">
      <c r="A232" s="310" t="s">
        <v>16</v>
      </c>
      <c r="B232" t="s">
        <v>3797</v>
      </c>
      <c r="C232" t="s">
        <v>3798</v>
      </c>
      <c r="D232" t="s">
        <v>3830</v>
      </c>
      <c r="E232" t="s">
        <v>3831</v>
      </c>
      <c r="F232" t="s">
        <v>3206</v>
      </c>
      <c r="G232" t="s">
        <v>3832</v>
      </c>
    </row>
    <row r="233" spans="1:7" ht="11.25" customHeight="1">
      <c r="A233" s="310" t="s">
        <v>16</v>
      </c>
      <c r="B233" t="s">
        <v>3797</v>
      </c>
      <c r="C233" t="s">
        <v>3798</v>
      </c>
      <c r="D233" t="s">
        <v>3833</v>
      </c>
      <c r="E233" t="s">
        <v>3834</v>
      </c>
      <c r="F233" t="s">
        <v>3222</v>
      </c>
      <c r="G233" t="s">
        <v>3835</v>
      </c>
    </row>
    <row r="234" spans="1:7" ht="11.25" customHeight="1">
      <c r="A234" s="310" t="s">
        <v>16</v>
      </c>
      <c r="B234" t="s">
        <v>3836</v>
      </c>
      <c r="C234" t="s">
        <v>3837</v>
      </c>
      <c r="D234" t="s">
        <v>3838</v>
      </c>
      <c r="E234" t="s">
        <v>3839</v>
      </c>
      <c r="F234" t="s">
        <v>3206</v>
      </c>
      <c r="G234" t="s">
        <v>3840</v>
      </c>
    </row>
    <row r="235" spans="1:7" ht="11.25" customHeight="1">
      <c r="A235" s="310" t="s">
        <v>16</v>
      </c>
      <c r="B235" t="s">
        <v>3836</v>
      </c>
      <c r="C235" t="s">
        <v>3837</v>
      </c>
      <c r="D235" t="s">
        <v>3841</v>
      </c>
      <c r="E235" t="s">
        <v>3842</v>
      </c>
      <c r="F235" t="s">
        <v>3206</v>
      </c>
      <c r="G235" t="s">
        <v>3843</v>
      </c>
    </row>
    <row r="236" spans="1:7" ht="11.25" customHeight="1">
      <c r="A236" s="310" t="s">
        <v>16</v>
      </c>
      <c r="B236" t="s">
        <v>3836</v>
      </c>
      <c r="C236" t="s">
        <v>3837</v>
      </c>
      <c r="D236" t="s">
        <v>3836</v>
      </c>
      <c r="E236" t="s">
        <v>3837</v>
      </c>
      <c r="F236" t="s">
        <v>3207</v>
      </c>
      <c r="G236" t="s">
        <v>3844</v>
      </c>
    </row>
    <row r="237" spans="1:7" ht="11.25" customHeight="1">
      <c r="A237" s="310" t="s">
        <v>16</v>
      </c>
      <c r="B237" t="s">
        <v>3836</v>
      </c>
      <c r="C237" t="s">
        <v>3837</v>
      </c>
      <c r="D237" t="s">
        <v>3845</v>
      </c>
      <c r="E237" t="s">
        <v>3846</v>
      </c>
      <c r="F237" t="s">
        <v>3222</v>
      </c>
      <c r="G237" t="s">
        <v>3847</v>
      </c>
    </row>
    <row r="238" spans="1:7" ht="11.25" customHeight="1">
      <c r="A238" s="310" t="s">
        <v>16</v>
      </c>
      <c r="B238" t="s">
        <v>3836</v>
      </c>
      <c r="C238" t="s">
        <v>3837</v>
      </c>
      <c r="D238" t="s">
        <v>3848</v>
      </c>
      <c r="E238" t="s">
        <v>3849</v>
      </c>
      <c r="F238" t="s">
        <v>3206</v>
      </c>
      <c r="G238" t="s">
        <v>3850</v>
      </c>
    </row>
    <row r="239" spans="1:7" ht="11.25" customHeight="1">
      <c r="A239" s="310" t="s">
        <v>16</v>
      </c>
      <c r="B239" t="s">
        <v>3836</v>
      </c>
      <c r="C239" t="s">
        <v>3837</v>
      </c>
      <c r="D239" t="s">
        <v>3851</v>
      </c>
      <c r="E239" t="s">
        <v>3852</v>
      </c>
      <c r="F239" t="s">
        <v>3206</v>
      </c>
      <c r="G239" t="s">
        <v>3853</v>
      </c>
    </row>
    <row r="240" spans="1:7" ht="11.25" customHeight="1">
      <c r="A240" s="310" t="s">
        <v>16</v>
      </c>
      <c r="B240" t="s">
        <v>3836</v>
      </c>
      <c r="C240" t="s">
        <v>3837</v>
      </c>
      <c r="D240" t="s">
        <v>3854</v>
      </c>
      <c r="E240" t="s">
        <v>3855</v>
      </c>
      <c r="F240" t="s">
        <v>3206</v>
      </c>
      <c r="G240" t="s">
        <v>3856</v>
      </c>
    </row>
    <row r="241" spans="1:7" ht="11.25" customHeight="1">
      <c r="A241" s="310" t="s">
        <v>16</v>
      </c>
      <c r="B241" t="s">
        <v>3836</v>
      </c>
      <c r="C241" t="s">
        <v>3837</v>
      </c>
      <c r="D241" t="s">
        <v>3857</v>
      </c>
      <c r="E241" t="s">
        <v>3858</v>
      </c>
      <c r="F241" t="s">
        <v>3206</v>
      </c>
      <c r="G241" t="s">
        <v>3859</v>
      </c>
    </row>
    <row r="242" spans="1:7" ht="11.25" customHeight="1">
      <c r="A242" s="310" t="s">
        <v>16</v>
      </c>
      <c r="B242" t="s">
        <v>3836</v>
      </c>
      <c r="C242" t="s">
        <v>3837</v>
      </c>
      <c r="D242" t="s">
        <v>3860</v>
      </c>
      <c r="E242" t="s">
        <v>3861</v>
      </c>
      <c r="F242" t="s">
        <v>3206</v>
      </c>
      <c r="G242" t="s">
        <v>3862</v>
      </c>
    </row>
    <row r="243" spans="1:7" ht="11.25" customHeight="1">
      <c r="A243" s="310" t="s">
        <v>16</v>
      </c>
      <c r="B243" t="s">
        <v>100</v>
      </c>
      <c r="C243" t="s">
        <v>3863</v>
      </c>
      <c r="D243" t="s">
        <v>3864</v>
      </c>
      <c r="E243" t="s">
        <v>3865</v>
      </c>
      <c r="F243" t="s">
        <v>3206</v>
      </c>
      <c r="G243" t="s">
        <v>3866</v>
      </c>
    </row>
    <row r="244" spans="1:7" ht="11.25" customHeight="1">
      <c r="A244" s="310" t="s">
        <v>16</v>
      </c>
      <c r="B244" t="s">
        <v>100</v>
      </c>
      <c r="C244" t="s">
        <v>3863</v>
      </c>
      <c r="D244" t="s">
        <v>3867</v>
      </c>
      <c r="E244" t="s">
        <v>3868</v>
      </c>
      <c r="F244" t="s">
        <v>3206</v>
      </c>
      <c r="G244" t="s">
        <v>3869</v>
      </c>
    </row>
    <row r="245" spans="1:7" ht="11.25" customHeight="1">
      <c r="A245" s="310" t="s">
        <v>16</v>
      </c>
      <c r="B245" t="s">
        <v>100</v>
      </c>
      <c r="C245" t="s">
        <v>3863</v>
      </c>
      <c r="D245" t="s">
        <v>3870</v>
      </c>
      <c r="E245" t="s">
        <v>3871</v>
      </c>
      <c r="F245" t="s">
        <v>3206</v>
      </c>
      <c r="G245" t="s">
        <v>3872</v>
      </c>
    </row>
    <row r="246" spans="1:7" ht="11.25" customHeight="1">
      <c r="A246" s="310" t="s">
        <v>16</v>
      </c>
      <c r="B246" t="s">
        <v>100</v>
      </c>
      <c r="C246" t="s">
        <v>3863</v>
      </c>
      <c r="D246" t="s">
        <v>3873</v>
      </c>
      <c r="E246" t="s">
        <v>3874</v>
      </c>
      <c r="F246" t="s">
        <v>3206</v>
      </c>
      <c r="G246" t="s">
        <v>3875</v>
      </c>
    </row>
    <row r="247" spans="1:7" ht="11.25" customHeight="1">
      <c r="A247" s="310" t="s">
        <v>16</v>
      </c>
      <c r="B247" t="s">
        <v>100</v>
      </c>
      <c r="C247" t="s">
        <v>3863</v>
      </c>
      <c r="D247" t="s">
        <v>3876</v>
      </c>
      <c r="E247" t="s">
        <v>3877</v>
      </c>
      <c r="F247" t="s">
        <v>3206</v>
      </c>
      <c r="G247" t="s">
        <v>3878</v>
      </c>
    </row>
    <row r="248" spans="1:7" ht="11.25" customHeight="1">
      <c r="A248" s="310" t="s">
        <v>16</v>
      </c>
      <c r="B248" t="s">
        <v>100</v>
      </c>
      <c r="C248" t="s">
        <v>3863</v>
      </c>
      <c r="D248" t="s">
        <v>3879</v>
      </c>
      <c r="E248" t="s">
        <v>3880</v>
      </c>
      <c r="F248" t="s">
        <v>3206</v>
      </c>
      <c r="G248" t="s">
        <v>3881</v>
      </c>
    </row>
    <row r="249" spans="1:7" ht="11.25" customHeight="1">
      <c r="A249" s="310" t="s">
        <v>16</v>
      </c>
      <c r="B249" t="s">
        <v>100</v>
      </c>
      <c r="C249" t="s">
        <v>3863</v>
      </c>
      <c r="D249" t="s">
        <v>101</v>
      </c>
      <c r="E249" t="s">
        <v>102</v>
      </c>
      <c r="F249" t="s">
        <v>3206</v>
      </c>
      <c r="G249" t="s">
        <v>99</v>
      </c>
    </row>
    <row r="250" spans="1:7" ht="11.25" customHeight="1">
      <c r="A250" s="310" t="s">
        <v>16</v>
      </c>
      <c r="B250" t="s">
        <v>100</v>
      </c>
      <c r="C250" t="s">
        <v>3863</v>
      </c>
      <c r="D250" t="s">
        <v>3882</v>
      </c>
      <c r="E250" t="s">
        <v>3883</v>
      </c>
      <c r="F250" t="s">
        <v>3206</v>
      </c>
      <c r="G250" t="s">
        <v>3884</v>
      </c>
    </row>
    <row r="251" spans="1:7" ht="11.25" customHeight="1">
      <c r="A251" s="310" t="s">
        <v>16</v>
      </c>
      <c r="B251" t="s">
        <v>100</v>
      </c>
      <c r="C251" t="s">
        <v>3863</v>
      </c>
      <c r="D251" t="s">
        <v>3885</v>
      </c>
      <c r="E251" t="s">
        <v>3886</v>
      </c>
      <c r="F251" t="s">
        <v>3206</v>
      </c>
      <c r="G251" t="s">
        <v>3887</v>
      </c>
    </row>
    <row r="252" spans="1:7" ht="11.25" customHeight="1">
      <c r="A252" s="310" t="s">
        <v>16</v>
      </c>
      <c r="B252" t="s">
        <v>100</v>
      </c>
      <c r="C252" t="s">
        <v>3863</v>
      </c>
      <c r="D252" t="s">
        <v>3888</v>
      </c>
      <c r="E252" t="s">
        <v>3889</v>
      </c>
      <c r="F252" t="s">
        <v>3206</v>
      </c>
      <c r="G252" t="s">
        <v>3890</v>
      </c>
    </row>
    <row r="253" spans="1:7" ht="11.25" customHeight="1">
      <c r="A253" s="310" t="s">
        <v>16</v>
      </c>
      <c r="B253" t="s">
        <v>100</v>
      </c>
      <c r="C253" t="s">
        <v>3863</v>
      </c>
      <c r="D253" t="s">
        <v>3891</v>
      </c>
      <c r="E253" t="s">
        <v>3892</v>
      </c>
      <c r="F253" t="s">
        <v>3206</v>
      </c>
      <c r="G253" t="s">
        <v>3893</v>
      </c>
    </row>
    <row r="254" spans="1:7" ht="11.25" customHeight="1">
      <c r="A254" s="310" t="s">
        <v>16</v>
      </c>
      <c r="B254" t="s">
        <v>100</v>
      </c>
      <c r="C254" t="s">
        <v>3863</v>
      </c>
      <c r="D254" t="s">
        <v>3894</v>
      </c>
      <c r="E254" t="s">
        <v>3895</v>
      </c>
      <c r="F254" t="s">
        <v>3206</v>
      </c>
      <c r="G254" t="s">
        <v>3896</v>
      </c>
    </row>
    <row r="255" spans="1:7" ht="11.25" customHeight="1">
      <c r="A255" s="310" t="s">
        <v>16</v>
      </c>
      <c r="B255" t="s">
        <v>100</v>
      </c>
      <c r="C255" t="s">
        <v>3863</v>
      </c>
      <c r="D255" t="s">
        <v>3897</v>
      </c>
      <c r="E255" t="s">
        <v>3898</v>
      </c>
      <c r="F255" t="s">
        <v>3206</v>
      </c>
      <c r="G255" t="s">
        <v>3899</v>
      </c>
    </row>
    <row r="256" spans="1:7" ht="11.25" customHeight="1">
      <c r="A256" s="310" t="s">
        <v>16</v>
      </c>
      <c r="B256" t="s">
        <v>100</v>
      </c>
      <c r="C256" t="s">
        <v>3863</v>
      </c>
      <c r="D256" t="s">
        <v>3900</v>
      </c>
      <c r="E256" t="s">
        <v>3901</v>
      </c>
      <c r="F256" t="s">
        <v>3206</v>
      </c>
      <c r="G256" t="s">
        <v>3902</v>
      </c>
    </row>
    <row r="257" spans="1:7" ht="11.25" customHeight="1">
      <c r="A257" s="310" t="s">
        <v>16</v>
      </c>
      <c r="B257" t="s">
        <v>100</v>
      </c>
      <c r="C257" t="s">
        <v>3863</v>
      </c>
      <c r="D257" t="s">
        <v>100</v>
      </c>
      <c r="E257" t="s">
        <v>3863</v>
      </c>
      <c r="F257" t="s">
        <v>3207</v>
      </c>
      <c r="G257" t="s">
        <v>3903</v>
      </c>
    </row>
    <row r="258" spans="1:7" ht="11.25" customHeight="1">
      <c r="A258" s="310" t="s">
        <v>16</v>
      </c>
      <c r="B258" t="s">
        <v>100</v>
      </c>
      <c r="C258" t="s">
        <v>3863</v>
      </c>
      <c r="D258" t="s">
        <v>3904</v>
      </c>
      <c r="E258" t="s">
        <v>3905</v>
      </c>
      <c r="F258" t="s">
        <v>3206</v>
      </c>
      <c r="G258" t="s">
        <v>3906</v>
      </c>
    </row>
    <row r="259" spans="1:7" ht="11.25" customHeight="1">
      <c r="A259" s="310" t="s">
        <v>16</v>
      </c>
      <c r="B259" t="s">
        <v>100</v>
      </c>
      <c r="C259" t="s">
        <v>3863</v>
      </c>
      <c r="D259" t="s">
        <v>3907</v>
      </c>
      <c r="E259" t="s">
        <v>3908</v>
      </c>
      <c r="F259" t="s">
        <v>3222</v>
      </c>
      <c r="G259" t="s">
        <v>3909</v>
      </c>
    </row>
    <row r="260" spans="1:7" ht="11.25" customHeight="1">
      <c r="A260" s="310" t="s">
        <v>16</v>
      </c>
      <c r="B260" t="s">
        <v>100</v>
      </c>
      <c r="C260" t="s">
        <v>3863</v>
      </c>
      <c r="D260" t="s">
        <v>3910</v>
      </c>
      <c r="E260" t="s">
        <v>3911</v>
      </c>
      <c r="F260" t="s">
        <v>3206</v>
      </c>
      <c r="G260" t="s">
        <v>3912</v>
      </c>
    </row>
    <row r="261" spans="1:7" ht="11.25" customHeight="1">
      <c r="A261" s="310" t="s">
        <v>16</v>
      </c>
      <c r="B261" t="s">
        <v>100</v>
      </c>
      <c r="C261" t="s">
        <v>3863</v>
      </c>
      <c r="D261" t="s">
        <v>3913</v>
      </c>
      <c r="E261" t="s">
        <v>3914</v>
      </c>
      <c r="F261" t="s">
        <v>3206</v>
      </c>
      <c r="G261" t="s">
        <v>3915</v>
      </c>
    </row>
    <row r="262" spans="1:7" ht="11.25" customHeight="1">
      <c r="A262" s="310" t="s">
        <v>16</v>
      </c>
      <c r="B262" t="s">
        <v>3916</v>
      </c>
      <c r="C262" t="s">
        <v>3917</v>
      </c>
      <c r="D262" t="s">
        <v>3918</v>
      </c>
      <c r="E262" t="s">
        <v>3919</v>
      </c>
      <c r="F262" t="s">
        <v>3257</v>
      </c>
      <c r="G262" t="s">
        <v>3920</v>
      </c>
    </row>
    <row r="263" spans="1:7" ht="11.25" customHeight="1">
      <c r="A263" s="310" t="s">
        <v>16</v>
      </c>
      <c r="B263" t="s">
        <v>3916</v>
      </c>
      <c r="C263" t="s">
        <v>3917</v>
      </c>
      <c r="D263" t="s">
        <v>3921</v>
      </c>
      <c r="E263" t="s">
        <v>3922</v>
      </c>
      <c r="F263" t="s">
        <v>3206</v>
      </c>
      <c r="G263" t="s">
        <v>3923</v>
      </c>
    </row>
    <row r="264" spans="1:7" ht="11.25" customHeight="1">
      <c r="A264" s="310" t="s">
        <v>16</v>
      </c>
      <c r="B264" t="s">
        <v>3916</v>
      </c>
      <c r="C264" t="s">
        <v>3917</v>
      </c>
      <c r="D264" t="s">
        <v>3924</v>
      </c>
      <c r="E264" t="s">
        <v>3925</v>
      </c>
      <c r="F264" t="s">
        <v>3206</v>
      </c>
      <c r="G264" t="s">
        <v>3926</v>
      </c>
    </row>
    <row r="265" spans="1:7" ht="11.25" customHeight="1">
      <c r="A265" s="310" t="s">
        <v>16</v>
      </c>
      <c r="B265" t="s">
        <v>3916</v>
      </c>
      <c r="C265" t="s">
        <v>3917</v>
      </c>
      <c r="D265" t="s">
        <v>3927</v>
      </c>
      <c r="E265" t="s">
        <v>3928</v>
      </c>
      <c r="F265" t="s">
        <v>3206</v>
      </c>
      <c r="G265" t="s">
        <v>3929</v>
      </c>
    </row>
    <row r="266" spans="1:7" ht="11.25" customHeight="1">
      <c r="A266" s="310" t="s">
        <v>16</v>
      </c>
      <c r="B266" t="s">
        <v>3916</v>
      </c>
      <c r="C266" t="s">
        <v>3917</v>
      </c>
      <c r="D266" t="s">
        <v>3930</v>
      </c>
      <c r="E266" t="s">
        <v>3931</v>
      </c>
      <c r="F266" t="s">
        <v>3206</v>
      </c>
      <c r="G266" t="s">
        <v>3932</v>
      </c>
    </row>
    <row r="267" spans="1:7" ht="11.25" customHeight="1">
      <c r="A267" s="310" t="s">
        <v>16</v>
      </c>
      <c r="B267" t="s">
        <v>3916</v>
      </c>
      <c r="C267" t="s">
        <v>3917</v>
      </c>
      <c r="D267" t="s">
        <v>3933</v>
      </c>
      <c r="E267" t="s">
        <v>3934</v>
      </c>
      <c r="F267" t="s">
        <v>3206</v>
      </c>
      <c r="G267" t="s">
        <v>3935</v>
      </c>
    </row>
    <row r="268" spans="1:7" ht="11.25" customHeight="1">
      <c r="A268" s="310" t="s">
        <v>16</v>
      </c>
      <c r="B268" t="s">
        <v>3916</v>
      </c>
      <c r="C268" t="s">
        <v>3917</v>
      </c>
      <c r="D268" t="s">
        <v>3936</v>
      </c>
      <c r="E268" t="s">
        <v>3937</v>
      </c>
      <c r="F268" t="s">
        <v>3206</v>
      </c>
      <c r="G268" t="s">
        <v>3938</v>
      </c>
    </row>
    <row r="269" spans="1:7" ht="11.25" customHeight="1">
      <c r="A269" s="310" t="s">
        <v>16</v>
      </c>
      <c r="B269" t="s">
        <v>3916</v>
      </c>
      <c r="C269" t="s">
        <v>3917</v>
      </c>
      <c r="D269" t="s">
        <v>3939</v>
      </c>
      <c r="E269" t="s">
        <v>3940</v>
      </c>
      <c r="F269" t="s">
        <v>3206</v>
      </c>
      <c r="G269" t="s">
        <v>3941</v>
      </c>
    </row>
    <row r="270" spans="1:7" ht="11.25" customHeight="1">
      <c r="A270" s="310" t="s">
        <v>16</v>
      </c>
      <c r="B270" t="s">
        <v>3916</v>
      </c>
      <c r="C270" t="s">
        <v>3917</v>
      </c>
      <c r="D270" t="s">
        <v>3942</v>
      </c>
      <c r="E270" t="s">
        <v>3943</v>
      </c>
      <c r="F270" t="s">
        <v>3206</v>
      </c>
      <c r="G270" t="s">
        <v>3944</v>
      </c>
    </row>
    <row r="271" spans="1:7" ht="11.25" customHeight="1">
      <c r="A271" s="310" t="s">
        <v>16</v>
      </c>
      <c r="B271" t="s">
        <v>3916</v>
      </c>
      <c r="C271" t="s">
        <v>3917</v>
      </c>
      <c r="D271" t="s">
        <v>3945</v>
      </c>
      <c r="E271" t="s">
        <v>3946</v>
      </c>
      <c r="F271" t="s">
        <v>3206</v>
      </c>
      <c r="G271" t="s">
        <v>3947</v>
      </c>
    </row>
    <row r="272" spans="1:7" ht="11.25" customHeight="1">
      <c r="A272" s="310" t="s">
        <v>16</v>
      </c>
      <c r="B272" t="s">
        <v>3916</v>
      </c>
      <c r="C272" t="s">
        <v>3917</v>
      </c>
      <c r="D272" t="s">
        <v>3948</v>
      </c>
      <c r="E272" t="s">
        <v>3949</v>
      </c>
      <c r="F272" t="s">
        <v>3206</v>
      </c>
      <c r="G272" t="s">
        <v>3950</v>
      </c>
    </row>
    <row r="273" spans="1:7" ht="11.25" customHeight="1">
      <c r="A273" s="310" t="s">
        <v>16</v>
      </c>
      <c r="B273" t="s">
        <v>3916</v>
      </c>
      <c r="C273" t="s">
        <v>3917</v>
      </c>
      <c r="D273" t="s">
        <v>3916</v>
      </c>
      <c r="E273" t="s">
        <v>3917</v>
      </c>
      <c r="F273" t="s">
        <v>3207</v>
      </c>
      <c r="G273" t="s">
        <v>3951</v>
      </c>
    </row>
    <row r="274" spans="1:7" ht="11.25" customHeight="1">
      <c r="A274" s="310" t="s">
        <v>16</v>
      </c>
      <c r="B274" t="s">
        <v>3916</v>
      </c>
      <c r="C274" t="s">
        <v>3917</v>
      </c>
      <c r="D274" t="s">
        <v>3952</v>
      </c>
      <c r="E274" t="s">
        <v>3953</v>
      </c>
      <c r="F274" t="s">
        <v>3206</v>
      </c>
      <c r="G274" t="s">
        <v>3954</v>
      </c>
    </row>
    <row r="275" spans="1:7" ht="11.25" customHeight="1">
      <c r="A275" s="310" t="s">
        <v>16</v>
      </c>
      <c r="B275" t="s">
        <v>3955</v>
      </c>
      <c r="C275" t="s">
        <v>3956</v>
      </c>
      <c r="D275" t="s">
        <v>3957</v>
      </c>
      <c r="E275" t="s">
        <v>3958</v>
      </c>
      <c r="F275" t="s">
        <v>3206</v>
      </c>
      <c r="G275" t="s">
        <v>3959</v>
      </c>
    </row>
    <row r="276" spans="1:7" ht="11.25" customHeight="1">
      <c r="A276" s="310" t="s">
        <v>16</v>
      </c>
      <c r="B276" t="s">
        <v>3955</v>
      </c>
      <c r="C276" t="s">
        <v>3956</v>
      </c>
      <c r="D276" t="s">
        <v>3960</v>
      </c>
      <c r="E276" t="s">
        <v>3961</v>
      </c>
      <c r="F276" t="s">
        <v>3206</v>
      </c>
      <c r="G276" t="s">
        <v>3962</v>
      </c>
    </row>
    <row r="277" spans="1:7" ht="11.25" customHeight="1">
      <c r="A277" s="310" t="s">
        <v>16</v>
      </c>
      <c r="B277" t="s">
        <v>3955</v>
      </c>
      <c r="C277" t="s">
        <v>3956</v>
      </c>
      <c r="D277" t="s">
        <v>3963</v>
      </c>
      <c r="E277" t="s">
        <v>3964</v>
      </c>
      <c r="F277" t="s">
        <v>3206</v>
      </c>
      <c r="G277" t="s">
        <v>3965</v>
      </c>
    </row>
    <row r="278" spans="1:7" ht="11.25" customHeight="1">
      <c r="A278" s="310" t="s">
        <v>16</v>
      </c>
      <c r="B278" t="s">
        <v>3955</v>
      </c>
      <c r="C278" t="s">
        <v>3956</v>
      </c>
      <c r="D278" t="s">
        <v>3966</v>
      </c>
      <c r="E278" t="s">
        <v>3967</v>
      </c>
      <c r="F278" t="s">
        <v>3206</v>
      </c>
      <c r="G278" t="s">
        <v>3968</v>
      </c>
    </row>
    <row r="279" spans="1:7" ht="11.25" customHeight="1">
      <c r="A279" s="310" t="s">
        <v>16</v>
      </c>
      <c r="B279" t="s">
        <v>3955</v>
      </c>
      <c r="C279" t="s">
        <v>3956</v>
      </c>
      <c r="D279" t="s">
        <v>3969</v>
      </c>
      <c r="E279" t="s">
        <v>3970</v>
      </c>
      <c r="F279" t="s">
        <v>3206</v>
      </c>
      <c r="G279" t="s">
        <v>3971</v>
      </c>
    </row>
    <row r="280" spans="1:7" ht="11.25" customHeight="1">
      <c r="A280" s="310" t="s">
        <v>16</v>
      </c>
      <c r="B280" t="s">
        <v>3955</v>
      </c>
      <c r="C280" t="s">
        <v>3956</v>
      </c>
      <c r="D280" t="s">
        <v>3972</v>
      </c>
      <c r="E280" t="s">
        <v>3973</v>
      </c>
      <c r="F280" t="s">
        <v>3206</v>
      </c>
      <c r="G280" t="s">
        <v>3974</v>
      </c>
    </row>
    <row r="281" spans="1:7" ht="11.25" customHeight="1">
      <c r="A281" s="310" t="s">
        <v>16</v>
      </c>
      <c r="B281" t="s">
        <v>3955</v>
      </c>
      <c r="C281" t="s">
        <v>3956</v>
      </c>
      <c r="D281" t="s">
        <v>3975</v>
      </c>
      <c r="E281" t="s">
        <v>3976</v>
      </c>
      <c r="F281" t="s">
        <v>3206</v>
      </c>
      <c r="G281" t="s">
        <v>3977</v>
      </c>
    </row>
    <row r="282" spans="1:7" ht="11.25" customHeight="1">
      <c r="A282" s="310" t="s">
        <v>16</v>
      </c>
      <c r="B282" t="s">
        <v>3955</v>
      </c>
      <c r="C282" t="s">
        <v>3956</v>
      </c>
      <c r="D282" t="s">
        <v>3978</v>
      </c>
      <c r="E282" t="s">
        <v>3979</v>
      </c>
      <c r="F282" t="s">
        <v>3206</v>
      </c>
      <c r="G282" t="s">
        <v>3980</v>
      </c>
    </row>
    <row r="283" spans="1:7" ht="11.25" customHeight="1">
      <c r="A283" s="310" t="s">
        <v>16</v>
      </c>
      <c r="B283" t="s">
        <v>3955</v>
      </c>
      <c r="C283" t="s">
        <v>3956</v>
      </c>
      <c r="D283" t="s">
        <v>3981</v>
      </c>
      <c r="E283" t="s">
        <v>3982</v>
      </c>
      <c r="F283" t="s">
        <v>3222</v>
      </c>
      <c r="G283" t="s">
        <v>3983</v>
      </c>
    </row>
    <row r="284" spans="1:7" ht="11.25" customHeight="1">
      <c r="A284" s="310" t="s">
        <v>16</v>
      </c>
      <c r="B284" t="s">
        <v>3955</v>
      </c>
      <c r="C284" t="s">
        <v>3956</v>
      </c>
      <c r="D284" t="s">
        <v>3955</v>
      </c>
      <c r="E284" t="s">
        <v>3956</v>
      </c>
      <c r="F284" t="s">
        <v>3207</v>
      </c>
      <c r="G284" t="s">
        <v>3984</v>
      </c>
    </row>
    <row r="285" spans="1:7" ht="11.25" customHeight="1">
      <c r="A285" s="310" t="s">
        <v>16</v>
      </c>
      <c r="B285" t="s">
        <v>3955</v>
      </c>
      <c r="C285" t="s">
        <v>3956</v>
      </c>
      <c r="D285" t="s">
        <v>3985</v>
      </c>
      <c r="E285" t="s">
        <v>3986</v>
      </c>
      <c r="F285" t="s">
        <v>3206</v>
      </c>
      <c r="G285" t="s">
        <v>3987</v>
      </c>
    </row>
    <row r="286" spans="1:7" ht="11.25" customHeight="1">
      <c r="A286" s="310" t="s">
        <v>16</v>
      </c>
      <c r="B286" t="s">
        <v>3988</v>
      </c>
      <c r="C286" t="s">
        <v>3989</v>
      </c>
      <c r="D286" t="s">
        <v>3990</v>
      </c>
      <c r="E286" t="s">
        <v>3991</v>
      </c>
      <c r="F286" t="s">
        <v>3206</v>
      </c>
      <c r="G286" t="s">
        <v>3992</v>
      </c>
    </row>
    <row r="287" spans="1:7" ht="11.25" customHeight="1">
      <c r="A287" s="310" t="s">
        <v>16</v>
      </c>
      <c r="B287" t="s">
        <v>3988</v>
      </c>
      <c r="C287" t="s">
        <v>3989</v>
      </c>
      <c r="D287" t="s">
        <v>3993</v>
      </c>
      <c r="E287" t="s">
        <v>3994</v>
      </c>
      <c r="F287" t="s">
        <v>3206</v>
      </c>
      <c r="G287" t="s">
        <v>3995</v>
      </c>
    </row>
    <row r="288" spans="1:7" ht="11.25" customHeight="1">
      <c r="A288" s="310" t="s">
        <v>16</v>
      </c>
      <c r="B288" t="s">
        <v>3988</v>
      </c>
      <c r="C288" t="s">
        <v>3989</v>
      </c>
      <c r="D288" t="s">
        <v>3996</v>
      </c>
      <c r="E288" t="s">
        <v>3997</v>
      </c>
      <c r="F288" t="s">
        <v>3206</v>
      </c>
      <c r="G288" t="s">
        <v>3998</v>
      </c>
    </row>
    <row r="289" spans="1:7" ht="11.25" customHeight="1">
      <c r="A289" s="310" t="s">
        <v>16</v>
      </c>
      <c r="B289" t="s">
        <v>3988</v>
      </c>
      <c r="C289" t="s">
        <v>3989</v>
      </c>
      <c r="D289" t="s">
        <v>3999</v>
      </c>
      <c r="E289" t="s">
        <v>4000</v>
      </c>
      <c r="F289" t="s">
        <v>3257</v>
      </c>
      <c r="G289" t="s">
        <v>4001</v>
      </c>
    </row>
    <row r="290" spans="1:7" ht="11.25" customHeight="1">
      <c r="A290" s="310" t="s">
        <v>16</v>
      </c>
      <c r="B290" t="s">
        <v>3988</v>
      </c>
      <c r="C290" t="s">
        <v>3989</v>
      </c>
      <c r="D290" t="s">
        <v>4002</v>
      </c>
      <c r="E290" t="s">
        <v>4003</v>
      </c>
      <c r="F290" t="s">
        <v>3206</v>
      </c>
      <c r="G290" t="s">
        <v>4004</v>
      </c>
    </row>
    <row r="291" spans="1:7" ht="11.25" customHeight="1">
      <c r="A291" s="310" t="s">
        <v>16</v>
      </c>
      <c r="B291" t="s">
        <v>3988</v>
      </c>
      <c r="C291" t="s">
        <v>3989</v>
      </c>
      <c r="D291" t="s">
        <v>4005</v>
      </c>
      <c r="E291" t="s">
        <v>4006</v>
      </c>
      <c r="F291" t="s">
        <v>3206</v>
      </c>
      <c r="G291" t="s">
        <v>4007</v>
      </c>
    </row>
    <row r="292" spans="1:7" ht="11.25" customHeight="1">
      <c r="A292" s="310" t="s">
        <v>16</v>
      </c>
      <c r="B292" t="s">
        <v>3988</v>
      </c>
      <c r="C292" t="s">
        <v>3989</v>
      </c>
      <c r="D292" t="s">
        <v>4008</v>
      </c>
      <c r="E292" t="s">
        <v>4009</v>
      </c>
      <c r="F292" t="s">
        <v>3206</v>
      </c>
      <c r="G292" t="s">
        <v>4010</v>
      </c>
    </row>
    <row r="293" spans="1:7" ht="11.25" customHeight="1">
      <c r="A293" s="310" t="s">
        <v>16</v>
      </c>
      <c r="B293" t="s">
        <v>3988</v>
      </c>
      <c r="C293" t="s">
        <v>3989</v>
      </c>
      <c r="D293" t="s">
        <v>4011</v>
      </c>
      <c r="E293" t="s">
        <v>4012</v>
      </c>
      <c r="F293" t="s">
        <v>3206</v>
      </c>
      <c r="G293" t="s">
        <v>4013</v>
      </c>
    </row>
    <row r="294" spans="1:7" ht="11.25" customHeight="1">
      <c r="A294" s="310" t="s">
        <v>16</v>
      </c>
      <c r="B294" t="s">
        <v>3988</v>
      </c>
      <c r="C294" t="s">
        <v>3989</v>
      </c>
      <c r="D294" t="s">
        <v>3988</v>
      </c>
      <c r="E294" t="s">
        <v>3989</v>
      </c>
      <c r="F294" t="s">
        <v>3207</v>
      </c>
      <c r="G294" t="s">
        <v>4014</v>
      </c>
    </row>
    <row r="295" spans="1:7" ht="11.25" customHeight="1">
      <c r="A295" s="310" t="s">
        <v>16</v>
      </c>
      <c r="B295" t="s">
        <v>3988</v>
      </c>
      <c r="C295" t="s">
        <v>3989</v>
      </c>
      <c r="D295" t="s">
        <v>4015</v>
      </c>
      <c r="E295" t="s">
        <v>4016</v>
      </c>
      <c r="F295" t="s">
        <v>3206</v>
      </c>
      <c r="G295" t="s">
        <v>4017</v>
      </c>
    </row>
    <row r="296" spans="1:7" ht="11.25" customHeight="1">
      <c r="A296" s="310" t="s">
        <v>16</v>
      </c>
      <c r="B296" t="s">
        <v>3988</v>
      </c>
      <c r="C296" t="s">
        <v>3989</v>
      </c>
      <c r="D296" t="s">
        <v>4018</v>
      </c>
      <c r="E296" t="s">
        <v>4019</v>
      </c>
      <c r="F296" t="s">
        <v>3206</v>
      </c>
      <c r="G296" t="s">
        <v>4020</v>
      </c>
    </row>
    <row r="297" spans="1:7" ht="11.25" customHeight="1">
      <c r="A297" s="310" t="s">
        <v>16</v>
      </c>
      <c r="B297" t="s">
        <v>4021</v>
      </c>
      <c r="C297" t="s">
        <v>4022</v>
      </c>
      <c r="D297" t="s">
        <v>4023</v>
      </c>
      <c r="E297" t="s">
        <v>4024</v>
      </c>
      <c r="F297" t="s">
        <v>3206</v>
      </c>
      <c r="G297" t="s">
        <v>4025</v>
      </c>
    </row>
    <row r="298" spans="1:7" ht="11.25" customHeight="1">
      <c r="A298" s="310" t="s">
        <v>16</v>
      </c>
      <c r="B298" t="s">
        <v>4021</v>
      </c>
      <c r="C298" t="s">
        <v>4022</v>
      </c>
      <c r="D298" t="s">
        <v>4026</v>
      </c>
      <c r="E298" t="s">
        <v>4027</v>
      </c>
      <c r="F298" t="s">
        <v>3206</v>
      </c>
      <c r="G298" t="s">
        <v>4028</v>
      </c>
    </row>
    <row r="299" spans="1:7" ht="11.25" customHeight="1">
      <c r="A299" s="310" t="s">
        <v>16</v>
      </c>
      <c r="B299" t="s">
        <v>4021</v>
      </c>
      <c r="C299" t="s">
        <v>4022</v>
      </c>
      <c r="D299" t="s">
        <v>4029</v>
      </c>
      <c r="E299" t="s">
        <v>4030</v>
      </c>
      <c r="F299" t="s">
        <v>3206</v>
      </c>
      <c r="G299" t="s">
        <v>4031</v>
      </c>
    </row>
    <row r="300" spans="1:7" ht="11.25" customHeight="1">
      <c r="A300" s="310" t="s">
        <v>16</v>
      </c>
      <c r="B300" t="s">
        <v>4021</v>
      </c>
      <c r="C300" t="s">
        <v>4022</v>
      </c>
      <c r="D300" t="s">
        <v>4032</v>
      </c>
      <c r="E300" t="s">
        <v>4033</v>
      </c>
      <c r="F300" t="s">
        <v>3206</v>
      </c>
      <c r="G300" t="s">
        <v>4034</v>
      </c>
    </row>
    <row r="301" spans="1:7" ht="11.25" customHeight="1">
      <c r="A301" s="310" t="s">
        <v>16</v>
      </c>
      <c r="B301" t="s">
        <v>4021</v>
      </c>
      <c r="C301" t="s">
        <v>4022</v>
      </c>
      <c r="D301" t="s">
        <v>4035</v>
      </c>
      <c r="E301" t="s">
        <v>4036</v>
      </c>
      <c r="F301" t="s">
        <v>3222</v>
      </c>
      <c r="G301" t="s">
        <v>4037</v>
      </c>
    </row>
    <row r="302" spans="1:7" ht="11.25" customHeight="1">
      <c r="A302" s="310" t="s">
        <v>16</v>
      </c>
      <c r="B302" t="s">
        <v>4021</v>
      </c>
      <c r="C302" t="s">
        <v>4022</v>
      </c>
      <c r="D302" t="s">
        <v>4021</v>
      </c>
      <c r="E302" t="s">
        <v>4022</v>
      </c>
      <c r="F302" t="s">
        <v>3207</v>
      </c>
      <c r="G302" t="s">
        <v>4038</v>
      </c>
    </row>
    <row r="303" spans="1:7" ht="11.25" customHeight="1">
      <c r="A303" s="310" t="s">
        <v>16</v>
      </c>
      <c r="B303" t="s">
        <v>4021</v>
      </c>
      <c r="C303" t="s">
        <v>4022</v>
      </c>
      <c r="D303" t="s">
        <v>4039</v>
      </c>
      <c r="E303" t="s">
        <v>4040</v>
      </c>
      <c r="F303" t="s">
        <v>3206</v>
      </c>
      <c r="G303" t="s">
        <v>4041</v>
      </c>
    </row>
    <row r="304" spans="1:7" ht="11.25" customHeight="1">
      <c r="A304" s="310" t="s">
        <v>16</v>
      </c>
      <c r="B304" t="s">
        <v>4042</v>
      </c>
      <c r="C304" t="s">
        <v>4043</v>
      </c>
      <c r="D304" t="s">
        <v>4044</v>
      </c>
      <c r="E304" t="s">
        <v>4045</v>
      </c>
      <c r="F304" t="s">
        <v>3206</v>
      </c>
      <c r="G304" t="s">
        <v>4046</v>
      </c>
    </row>
    <row r="305" spans="1:7" ht="11.25" customHeight="1">
      <c r="A305" s="310" t="s">
        <v>16</v>
      </c>
      <c r="B305" t="s">
        <v>4042</v>
      </c>
      <c r="C305" t="s">
        <v>4043</v>
      </c>
      <c r="D305" t="s">
        <v>4047</v>
      </c>
      <c r="E305" t="s">
        <v>4048</v>
      </c>
      <c r="F305" t="s">
        <v>3206</v>
      </c>
      <c r="G305" t="s">
        <v>4049</v>
      </c>
    </row>
    <row r="306" spans="1:7" ht="11.25" customHeight="1">
      <c r="A306" s="310" t="s">
        <v>16</v>
      </c>
      <c r="B306" t="s">
        <v>4042</v>
      </c>
      <c r="C306" t="s">
        <v>4043</v>
      </c>
      <c r="D306" t="s">
        <v>3301</v>
      </c>
      <c r="E306" t="s">
        <v>4050</v>
      </c>
      <c r="F306" t="s">
        <v>3206</v>
      </c>
      <c r="G306" t="s">
        <v>4051</v>
      </c>
    </row>
    <row r="307" spans="1:7" ht="11.25" customHeight="1">
      <c r="A307" s="310" t="s">
        <v>16</v>
      </c>
      <c r="B307" t="s">
        <v>4042</v>
      </c>
      <c r="C307" t="s">
        <v>4043</v>
      </c>
      <c r="D307" t="s">
        <v>4052</v>
      </c>
      <c r="E307" t="s">
        <v>4053</v>
      </c>
      <c r="F307" t="s">
        <v>3206</v>
      </c>
      <c r="G307" t="s">
        <v>4054</v>
      </c>
    </row>
    <row r="308" spans="1:7" ht="11.25" customHeight="1">
      <c r="A308" s="310" t="s">
        <v>16</v>
      </c>
      <c r="B308" t="s">
        <v>4042</v>
      </c>
      <c r="C308" t="s">
        <v>4043</v>
      </c>
      <c r="D308" t="s">
        <v>4055</v>
      </c>
      <c r="E308" t="s">
        <v>4056</v>
      </c>
      <c r="F308" t="s">
        <v>3206</v>
      </c>
      <c r="G308" t="s">
        <v>4057</v>
      </c>
    </row>
    <row r="309" spans="1:7" ht="11.25" customHeight="1">
      <c r="A309" s="310" t="s">
        <v>16</v>
      </c>
      <c r="B309" t="s">
        <v>4042</v>
      </c>
      <c r="C309" t="s">
        <v>4043</v>
      </c>
      <c r="D309" t="s">
        <v>4058</v>
      </c>
      <c r="E309" t="s">
        <v>4059</v>
      </c>
      <c r="F309" t="s">
        <v>3206</v>
      </c>
      <c r="G309" t="s">
        <v>4060</v>
      </c>
    </row>
    <row r="310" spans="1:7" ht="11.25" customHeight="1">
      <c r="A310" s="310" t="s">
        <v>16</v>
      </c>
      <c r="B310" t="s">
        <v>4042</v>
      </c>
      <c r="C310" t="s">
        <v>4043</v>
      </c>
      <c r="D310" t="s">
        <v>4061</v>
      </c>
      <c r="E310" t="s">
        <v>4062</v>
      </c>
      <c r="F310" t="s">
        <v>3222</v>
      </c>
      <c r="G310" t="s">
        <v>4063</v>
      </c>
    </row>
    <row r="311" spans="1:7" ht="11.25" customHeight="1">
      <c r="A311" s="310" t="s">
        <v>16</v>
      </c>
      <c r="B311" t="s">
        <v>4042</v>
      </c>
      <c r="C311" t="s">
        <v>4043</v>
      </c>
      <c r="D311" t="s">
        <v>4064</v>
      </c>
      <c r="E311" t="s">
        <v>4065</v>
      </c>
      <c r="F311" t="s">
        <v>3206</v>
      </c>
      <c r="G311" t="s">
        <v>4066</v>
      </c>
    </row>
    <row r="312" spans="1:7" ht="11.25" customHeight="1">
      <c r="A312" s="310" t="s">
        <v>16</v>
      </c>
      <c r="B312" t="s">
        <v>4042</v>
      </c>
      <c r="C312" t="s">
        <v>4043</v>
      </c>
      <c r="D312" t="s">
        <v>4067</v>
      </c>
      <c r="E312" t="s">
        <v>4068</v>
      </c>
      <c r="F312" t="s">
        <v>3206</v>
      </c>
      <c r="G312" t="s">
        <v>4069</v>
      </c>
    </row>
    <row r="313" spans="1:7" ht="11.25" customHeight="1">
      <c r="A313" s="310" t="s">
        <v>16</v>
      </c>
      <c r="B313" t="s">
        <v>4042</v>
      </c>
      <c r="C313" t="s">
        <v>4043</v>
      </c>
      <c r="D313" t="s">
        <v>4070</v>
      </c>
      <c r="E313" t="s">
        <v>4071</v>
      </c>
      <c r="F313" t="s">
        <v>3206</v>
      </c>
      <c r="G313" t="s">
        <v>4072</v>
      </c>
    </row>
    <row r="314" spans="1:7" ht="11.25" customHeight="1">
      <c r="A314" s="310" t="s">
        <v>16</v>
      </c>
      <c r="B314" t="s">
        <v>4042</v>
      </c>
      <c r="C314" t="s">
        <v>4043</v>
      </c>
      <c r="D314" t="s">
        <v>4073</v>
      </c>
      <c r="E314" t="s">
        <v>4074</v>
      </c>
      <c r="F314" t="s">
        <v>3206</v>
      </c>
      <c r="G314" t="s">
        <v>4075</v>
      </c>
    </row>
    <row r="315" spans="1:7" ht="11.25" customHeight="1">
      <c r="A315" s="310" t="s">
        <v>16</v>
      </c>
      <c r="B315" t="s">
        <v>4042</v>
      </c>
      <c r="C315" t="s">
        <v>4043</v>
      </c>
      <c r="D315" t="s">
        <v>4076</v>
      </c>
      <c r="E315" t="s">
        <v>4077</v>
      </c>
      <c r="F315" t="s">
        <v>3206</v>
      </c>
      <c r="G315" t="s">
        <v>4078</v>
      </c>
    </row>
    <row r="316" spans="1:7" ht="11.25" customHeight="1">
      <c r="A316" s="310" t="s">
        <v>16</v>
      </c>
      <c r="B316" t="s">
        <v>4042</v>
      </c>
      <c r="C316" t="s">
        <v>4043</v>
      </c>
      <c r="D316" t="s">
        <v>4079</v>
      </c>
      <c r="E316" t="s">
        <v>4080</v>
      </c>
      <c r="F316" t="s">
        <v>3206</v>
      </c>
      <c r="G316" t="s">
        <v>4081</v>
      </c>
    </row>
    <row r="317" spans="1:7" ht="11.25" customHeight="1">
      <c r="A317" s="310" t="s">
        <v>16</v>
      </c>
      <c r="B317" t="s">
        <v>4042</v>
      </c>
      <c r="C317" t="s">
        <v>4043</v>
      </c>
      <c r="D317" t="s">
        <v>4042</v>
      </c>
      <c r="E317" t="s">
        <v>4043</v>
      </c>
      <c r="F317" t="s">
        <v>3207</v>
      </c>
      <c r="G317" t="s">
        <v>4082</v>
      </c>
    </row>
    <row r="318" spans="1:7" ht="11.25" customHeight="1">
      <c r="A318" s="310" t="s">
        <v>16</v>
      </c>
      <c r="B318" t="s">
        <v>4083</v>
      </c>
      <c r="C318" t="s">
        <v>4084</v>
      </c>
      <c r="D318" t="s">
        <v>4083</v>
      </c>
      <c r="E318" t="s">
        <v>4084</v>
      </c>
      <c r="F318" t="s">
        <v>3353</v>
      </c>
      <c r="G318" t="s">
        <v>4085</v>
      </c>
    </row>
    <row r="319" spans="1:7" ht="11.25" customHeight="1">
      <c r="A319" s="310" t="s">
        <v>16</v>
      </c>
      <c r="B319" t="s">
        <v>4086</v>
      </c>
      <c r="C319" t="s">
        <v>4087</v>
      </c>
      <c r="D319" t="s">
        <v>4086</v>
      </c>
      <c r="E319" t="s">
        <v>4087</v>
      </c>
      <c r="F319" t="s">
        <v>3353</v>
      </c>
      <c r="G319" t="s">
        <v>4088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4089</v>
      </c>
      <c r="B1" s="766" t="s">
        <v>4090</v>
      </c>
      <c r="C1" s="1086" t="s">
        <v>4091</v>
      </c>
      <c r="D1" s="766" t="s">
        <v>4092</v>
      </c>
      <c r="E1" s="766" t="s">
        <v>4093</v>
      </c>
      <c r="F1" s="1086" t="s">
        <v>4094</v>
      </c>
      <c r="G1" s="1086" t="s">
        <v>4095</v>
      </c>
      <c r="H1" s="1086" t="s">
        <v>4096</v>
      </c>
      <c r="I1" s="1086" t="s">
        <v>4097</v>
      </c>
    </row>
    <row r="2" spans="1:9" ht="11.25" customHeight="1">
      <c r="A2" s="1618" t="s">
        <v>110</v>
      </c>
      <c r="B2" s="1618" t="s">
        <v>4098</v>
      </c>
      <c r="C2" s="1618" t="s">
        <v>28</v>
      </c>
      <c r="D2" s="1618" t="s">
        <v>4099</v>
      </c>
      <c r="E2" s="1618" t="s">
        <v>4100</v>
      </c>
      <c r="F2" s="1618" t="s">
        <v>28</v>
      </c>
      <c r="G2" s="1618" t="s">
        <v>28</v>
      </c>
      <c r="H2" s="1618" t="s">
        <v>28</v>
      </c>
      <c r="I2" s="1618" t="s">
        <v>28</v>
      </c>
    </row>
    <row r="3" spans="1:9" ht="11.25" customHeight="1">
      <c r="A3" s="1618" t="s">
        <v>111</v>
      </c>
      <c r="B3" s="1618" t="s">
        <v>4101</v>
      </c>
      <c r="C3" s="1618" t="s">
        <v>28</v>
      </c>
      <c r="D3" s="1618" t="s">
        <v>4102</v>
      </c>
      <c r="E3" s="1618" t="s">
        <v>4103</v>
      </c>
      <c r="F3" s="1618" t="s">
        <v>28</v>
      </c>
      <c r="G3" s="1618" t="s">
        <v>28</v>
      </c>
      <c r="H3" s="1618" t="s">
        <v>28</v>
      </c>
      <c r="I3" s="1618" t="s">
        <v>28</v>
      </c>
    </row>
    <row r="4" spans="1:9" ht="11.25" customHeight="1">
      <c r="A4" s="1618" t="s">
        <v>90</v>
      </c>
      <c r="B4" s="1618" t="s">
        <v>4104</v>
      </c>
      <c r="C4" s="1618" t="s">
        <v>28</v>
      </c>
      <c r="D4" s="1618" t="s">
        <v>4102</v>
      </c>
      <c r="E4" s="1618" t="s">
        <v>4103</v>
      </c>
      <c r="F4" s="1618" t="s">
        <v>28</v>
      </c>
      <c r="G4" s="1618" t="s">
        <v>28</v>
      </c>
      <c r="H4" s="1618" t="s">
        <v>28</v>
      </c>
      <c r="I4" s="1618" t="s">
        <v>28</v>
      </c>
    </row>
    <row r="5" spans="1:9" ht="11.25" customHeight="1">
      <c r="A5" s="1618" t="s">
        <v>91</v>
      </c>
      <c r="B5" s="1618" t="s">
        <v>4105</v>
      </c>
      <c r="C5" s="1618" t="s">
        <v>28</v>
      </c>
      <c r="D5" s="1618" t="s">
        <v>4106</v>
      </c>
      <c r="E5" s="1618" t="s">
        <v>4107</v>
      </c>
      <c r="F5" s="1618" t="s">
        <v>28</v>
      </c>
      <c r="G5" s="1618" t="s">
        <v>28</v>
      </c>
      <c r="H5" s="1618" t="s">
        <v>28</v>
      </c>
      <c r="I5" s="1618" t="s">
        <v>28</v>
      </c>
    </row>
    <row r="6" spans="1:9" ht="11.25" customHeight="1">
      <c r="A6" s="1618" t="s">
        <v>112</v>
      </c>
      <c r="B6" s="1618" t="s">
        <v>4108</v>
      </c>
      <c r="C6" s="1618" t="s">
        <v>28</v>
      </c>
      <c r="D6" s="1618" t="s">
        <v>4109</v>
      </c>
      <c r="E6" s="1618" t="s">
        <v>4110</v>
      </c>
      <c r="F6" s="1618" t="s">
        <v>28</v>
      </c>
      <c r="G6" s="1618" t="s">
        <v>28</v>
      </c>
      <c r="H6" s="1618" t="s">
        <v>28</v>
      </c>
      <c r="I6"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29" t="s">
        <v>358</v>
      </c>
      <c r="I1" s="2229"/>
      <c r="J1" s="2229"/>
      <c r="K1" s="2229"/>
      <c r="L1" s="2229"/>
      <c r="M1" s="2229"/>
      <c r="N1" s="2229"/>
      <c r="O1" s="2229"/>
      <c r="P1" s="2229"/>
      <c r="Q1" s="2229"/>
      <c r="R1" s="2229"/>
      <c r="T1" s="2229" t="s">
        <v>359</v>
      </c>
      <c r="U1" s="2229"/>
      <c r="V1" s="2229"/>
      <c r="X1" s="2229" t="s">
        <v>360</v>
      </c>
      <c r="Y1" s="2229"/>
      <c r="Z1" s="2229"/>
      <c r="AB1" s="2229" t="s">
        <v>361</v>
      </c>
      <c r="AC1" s="2229"/>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6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9"/>
      <c r="F4" s="2169"/>
      <c r="G4" s="2169"/>
      <c r="H4" s="2169"/>
      <c r="I4" s="2169"/>
      <c r="J4" s="2169"/>
      <c r="K4" s="2169"/>
      <c r="L4" s="2169"/>
      <c r="M4" s="2169"/>
      <c r="N4" s="2169"/>
      <c r="O4" s="2169"/>
      <c r="P4" s="2169"/>
      <c r="Q4" s="2169"/>
      <c r="R4" s="217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26" t="str">
        <f>IF(org=0,"Не определено",org)</f>
        <v>ООО ПКФ "Энергетик-2001"</v>
      </c>
      <c r="E5" s="2227"/>
      <c r="F5" s="2227"/>
      <c r="G5" s="2227"/>
      <c r="H5" s="2227"/>
      <c r="I5" s="2227"/>
      <c r="J5" s="2227"/>
      <c r="K5" s="2227"/>
      <c r="L5" s="2227"/>
      <c r="M5" s="2227"/>
      <c r="N5" s="2227"/>
      <c r="O5" s="2227"/>
      <c r="P5" s="2227"/>
      <c r="Q5" s="2227"/>
      <c r="R5" s="222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17" t="s">
        <v>306</v>
      </c>
      <c r="E7" s="2230"/>
      <c r="F7" s="2230"/>
      <c r="G7" s="2230"/>
      <c r="H7" s="2230"/>
      <c r="I7" s="2230"/>
      <c r="J7" s="2230"/>
      <c r="K7" s="2230"/>
      <c r="L7" s="2230"/>
      <c r="M7" s="2230"/>
      <c r="N7" s="2230"/>
      <c r="O7" s="2230"/>
      <c r="P7" s="2230"/>
      <c r="Q7" s="2230"/>
      <c r="R7" s="2230"/>
      <c r="S7" s="2230"/>
      <c r="T7" s="2230"/>
      <c r="U7" s="2230"/>
      <c r="V7" s="2230"/>
      <c r="W7" s="2230"/>
      <c r="X7" s="2230"/>
      <c r="Y7" s="2230"/>
      <c r="Z7" s="2230"/>
      <c r="AA7" s="2230"/>
      <c r="AB7" s="2230"/>
      <c r="AC7" s="2230"/>
      <c r="AD7" s="2231"/>
      <c r="AE7" s="2175" t="s">
        <v>307</v>
      </c>
      <c r="AF7" s="2175" t="s">
        <v>307</v>
      </c>
      <c r="AG7" s="2175" t="s">
        <v>307</v>
      </c>
      <c r="AH7" s="2175" t="s">
        <v>307</v>
      </c>
      <c r="AT7" s="384">
        <v>14</v>
      </c>
    </row>
    <row r="8" spans="1:46" ht="27.4" customHeight="1">
      <c r="C8" s="387"/>
      <c r="D8" s="2116" t="s">
        <v>88</v>
      </c>
      <c r="E8" s="2175" t="str">
        <f>"Наименование "&amp;IF(TEMPLATE_SPHERE&lt;&gt;"HEAT","централизованной ","")&amp;"системы "&amp;TEMPLATE_SPHERE_RUS</f>
        <v>Наименование системы теплоснабжения</v>
      </c>
      <c r="F8" s="2175" t="str">
        <f>IF(TEMPLATE_SPHERE&lt;&gt;"HEAT","Регулируемый вид деятельности","Вид регулируемой деятельности")</f>
        <v>Вид регулируемой деятельности</v>
      </c>
      <c r="G8" s="759"/>
      <c r="H8" s="2218" t="s">
        <v>363</v>
      </c>
      <c r="I8" s="2222" t="s">
        <v>364</v>
      </c>
      <c r="J8" s="2175" t="s">
        <v>365</v>
      </c>
      <c r="K8" s="2175"/>
      <c r="L8" s="2175"/>
      <c r="M8" s="2217"/>
      <c r="N8" s="2175" t="s">
        <v>366</v>
      </c>
      <c r="O8" s="2175"/>
      <c r="P8" s="2175" t="s">
        <v>367</v>
      </c>
      <c r="Q8" s="2175"/>
      <c r="R8" s="2220" t="s">
        <v>368</v>
      </c>
      <c r="S8" s="755"/>
      <c r="T8" s="2218" t="s">
        <v>369</v>
      </c>
      <c r="U8" s="2218" t="s">
        <v>370</v>
      </c>
      <c r="V8" s="2218" t="s">
        <v>371</v>
      </c>
      <c r="W8" s="757"/>
      <c r="X8" s="2218" t="s">
        <v>372</v>
      </c>
      <c r="Y8" s="2218" t="s">
        <v>373</v>
      </c>
      <c r="Z8" s="2218" t="s">
        <v>374</v>
      </c>
      <c r="AA8" s="757"/>
      <c r="AB8" s="2218" t="s">
        <v>375</v>
      </c>
      <c r="AC8" s="2218" t="s">
        <v>368</v>
      </c>
      <c r="AD8" s="757"/>
      <c r="AE8" s="2175"/>
      <c r="AF8" s="2175"/>
      <c r="AG8" s="2175"/>
      <c r="AH8" s="2175"/>
      <c r="AT8" s="384">
        <v>26</v>
      </c>
    </row>
    <row r="9" spans="1:46" ht="46.15" customHeight="1">
      <c r="C9" s="387"/>
      <c r="D9" s="2116"/>
      <c r="E9" s="2175"/>
      <c r="F9" s="2175"/>
      <c r="G9" s="760"/>
      <c r="H9" s="2219"/>
      <c r="I9" s="2223"/>
      <c r="J9" s="362" t="s">
        <v>376</v>
      </c>
      <c r="K9" s="362" t="s">
        <v>377</v>
      </c>
      <c r="L9" s="362" t="s">
        <v>378</v>
      </c>
      <c r="M9" s="368" t="s">
        <v>379</v>
      </c>
      <c r="N9" s="362" t="s">
        <v>380</v>
      </c>
      <c r="O9" s="362" t="s">
        <v>379</v>
      </c>
      <c r="P9" s="362" t="s">
        <v>381</v>
      </c>
      <c r="Q9" s="362" t="s">
        <v>379</v>
      </c>
      <c r="R9" s="2221"/>
      <c r="S9" s="756"/>
      <c r="T9" s="2219"/>
      <c r="U9" s="2219"/>
      <c r="V9" s="2219"/>
      <c r="W9" s="758"/>
      <c r="X9" s="2219"/>
      <c r="Y9" s="2219"/>
      <c r="Z9" s="2219"/>
      <c r="AA9" s="758"/>
      <c r="AB9" s="2219"/>
      <c r="AC9" s="2219"/>
      <c r="AD9" s="758"/>
      <c r="AE9" s="2175"/>
      <c r="AF9" s="2175"/>
      <c r="AG9" s="2175"/>
      <c r="AH9" s="217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24" t="s">
        <v>383</v>
      </c>
      <c r="AF12" s="2224" t="s">
        <v>384</v>
      </c>
      <c r="AG12" s="2224" t="s">
        <v>385</v>
      </c>
      <c r="AH12" s="2224"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25"/>
      <c r="AF13" s="2225"/>
      <c r="AG13" s="2225"/>
      <c r="AH13" s="222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4111</v>
      </c>
    </row>
    <row r="2" spans="1:2" ht="11.25" customHeight="1">
      <c r="A2" s="121" t="s">
        <v>98</v>
      </c>
      <c r="B2" s="121" t="s">
        <v>4112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4113</v>
      </c>
      <c r="B1" s="766" t="s">
        <v>4114</v>
      </c>
    </row>
    <row r="2" spans="1:2" ht="11.25" customHeight="1">
      <c r="A2" s="766">
        <v>4213775</v>
      </c>
      <c r="B2" s="766" t="s">
        <v>1236</v>
      </c>
    </row>
    <row r="3" spans="1:2" ht="11.25" customHeight="1">
      <c r="A3" s="766">
        <v>4213784</v>
      </c>
      <c r="B3" s="766" t="s">
        <v>1267</v>
      </c>
    </row>
    <row r="4" spans="1:2" ht="11.25" customHeight="1">
      <c r="A4" s="766">
        <v>4213781</v>
      </c>
      <c r="B4" s="766" t="s">
        <v>1260</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1401</v>
      </c>
    </row>
    <row r="10" spans="1:2" ht="11.25" customHeight="1">
      <c r="A10" s="766">
        <v>4213783</v>
      </c>
      <c r="B10" s="766" t="s">
        <v>1416</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4113</v>
      </c>
      <c r="B1" s="766" t="s">
        <v>4115</v>
      </c>
    </row>
    <row r="2" spans="1:2" ht="11.25" customHeight="1">
      <c r="A2" s="766" t="s">
        <v>4116</v>
      </c>
      <c r="B2" s="766" t="s">
        <v>1514</v>
      </c>
    </row>
    <row r="3" spans="1:2" ht="11.25" customHeight="1">
      <c r="A3" s="766" t="s">
        <v>4117</v>
      </c>
      <c r="B3" s="766" t="s">
        <v>1524</v>
      </c>
    </row>
    <row r="4" spans="1:2" ht="11.25" customHeight="1">
      <c r="A4" s="766" t="s">
        <v>4118</v>
      </c>
      <c r="B4" s="766" t="s">
        <v>1533</v>
      </c>
    </row>
    <row r="5" spans="1:2" ht="11.25" customHeight="1">
      <c r="A5" s="766" t="s">
        <v>4119</v>
      </c>
      <c r="B5" s="766" t="s">
        <v>1542</v>
      </c>
    </row>
    <row r="6" spans="1:2" ht="11.25" customHeight="1">
      <c r="A6" s="766" t="s">
        <v>4120</v>
      </c>
      <c r="B6" s="766" t="s">
        <v>1548</v>
      </c>
    </row>
    <row r="7" spans="1:2" ht="11.25" customHeight="1">
      <c r="A7" s="766" t="s">
        <v>4121</v>
      </c>
      <c r="B7" s="766" t="s">
        <v>1556</v>
      </c>
    </row>
    <row r="8" spans="1:2" ht="11.25" customHeight="1">
      <c r="A8" s="766" t="s">
        <v>4122</v>
      </c>
      <c r="B8" s="766" t="s">
        <v>1563</v>
      </c>
    </row>
    <row r="9" spans="1:2" ht="11.25" customHeight="1">
      <c r="A9" s="766" t="s">
        <v>4123</v>
      </c>
      <c r="B9" s="766" t="s">
        <v>1569</v>
      </c>
    </row>
    <row r="10" spans="1:2" ht="11.25" customHeight="1">
      <c r="A10" s="766" t="s">
        <v>4124</v>
      </c>
      <c r="B10" s="766" t="s">
        <v>1573</v>
      </c>
    </row>
    <row r="11" spans="1:2" ht="11.25" customHeight="1">
      <c r="A11" s="766" t="s">
        <v>4125</v>
      </c>
      <c r="B11" s="766" t="s">
        <v>1580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9"/>
  <sheetViews>
    <sheetView showGridLines="0" workbookViewId="0"/>
  </sheetViews>
  <sheetFormatPr defaultRowHeight="11.25" customHeight="1"/>
  <sheetData>
    <row r="1" spans="1:7" ht="11.25" customHeight="1">
      <c r="A1" s="310" t="s">
        <v>3195</v>
      </c>
      <c r="B1" s="310" t="s">
        <v>3196</v>
      </c>
      <c r="C1" s="310" t="s">
        <v>3197</v>
      </c>
      <c r="D1" s="310" t="s">
        <v>3198</v>
      </c>
      <c r="E1" t="s">
        <v>3199</v>
      </c>
      <c r="F1" t="s">
        <v>3200</v>
      </c>
      <c r="G1" t="s">
        <v>3201</v>
      </c>
    </row>
    <row r="2" spans="1:7" ht="11.25" customHeight="1">
      <c r="A2" t="s">
        <v>16</v>
      </c>
      <c r="B2" t="s">
        <v>3202</v>
      </c>
      <c r="C2" t="s">
        <v>3203</v>
      </c>
      <c r="D2" t="s">
        <v>3204</v>
      </c>
      <c r="E2" t="s">
        <v>3205</v>
      </c>
      <c r="F2" t="s">
        <v>3206</v>
      </c>
      <c r="G2" t="s">
        <v>110</v>
      </c>
    </row>
    <row r="3" spans="1:7" ht="11.25" customHeight="1">
      <c r="A3" t="s">
        <v>16</v>
      </c>
      <c r="B3" t="s">
        <v>3202</v>
      </c>
      <c r="C3" t="s">
        <v>3203</v>
      </c>
      <c r="D3" t="s">
        <v>3202</v>
      </c>
      <c r="E3" t="s">
        <v>3203</v>
      </c>
      <c r="F3" t="s">
        <v>3207</v>
      </c>
      <c r="G3" t="s">
        <v>111</v>
      </c>
    </row>
    <row r="4" spans="1:7" ht="11.25" customHeight="1">
      <c r="A4" t="s">
        <v>16</v>
      </c>
      <c r="B4" t="s">
        <v>3202</v>
      </c>
      <c r="C4" t="s">
        <v>3203</v>
      </c>
      <c r="D4" t="s">
        <v>3208</v>
      </c>
      <c r="E4" t="s">
        <v>3209</v>
      </c>
      <c r="F4" t="s">
        <v>3206</v>
      </c>
      <c r="G4" t="s">
        <v>90</v>
      </c>
    </row>
    <row r="5" spans="1:7" ht="11.25" customHeight="1">
      <c r="A5" t="s">
        <v>16</v>
      </c>
      <c r="B5" t="s">
        <v>3202</v>
      </c>
      <c r="C5" t="s">
        <v>3203</v>
      </c>
      <c r="D5" t="s">
        <v>3210</v>
      </c>
      <c r="E5" t="s">
        <v>3211</v>
      </c>
      <c r="F5" t="s">
        <v>3206</v>
      </c>
      <c r="G5" t="s">
        <v>91</v>
      </c>
    </row>
    <row r="6" spans="1:7" ht="11.25" customHeight="1">
      <c r="A6" t="s">
        <v>16</v>
      </c>
      <c r="B6" t="s">
        <v>3202</v>
      </c>
      <c r="C6" t="s">
        <v>3203</v>
      </c>
      <c r="D6" t="s">
        <v>3212</v>
      </c>
      <c r="E6" t="s">
        <v>3213</v>
      </c>
      <c r="F6" t="s">
        <v>3206</v>
      </c>
      <c r="G6" t="s">
        <v>112</v>
      </c>
    </row>
    <row r="7" spans="1:7" ht="11.25" customHeight="1">
      <c r="A7" t="s">
        <v>16</v>
      </c>
      <c r="B7" t="s">
        <v>3202</v>
      </c>
      <c r="C7" t="s">
        <v>3203</v>
      </c>
      <c r="D7" t="s">
        <v>3214</v>
      </c>
      <c r="E7" t="s">
        <v>3215</v>
      </c>
      <c r="F7" t="s">
        <v>3206</v>
      </c>
      <c r="G7" t="s">
        <v>92</v>
      </c>
    </row>
    <row r="8" spans="1:7" ht="11.25" customHeight="1">
      <c r="A8" t="s">
        <v>16</v>
      </c>
      <c r="B8" t="s">
        <v>3202</v>
      </c>
      <c r="C8" t="s">
        <v>3203</v>
      </c>
      <c r="D8" t="s">
        <v>3216</v>
      </c>
      <c r="E8" t="s">
        <v>3217</v>
      </c>
      <c r="F8" t="s">
        <v>3206</v>
      </c>
      <c r="G8" t="s">
        <v>93</v>
      </c>
    </row>
    <row r="9" spans="1:7" ht="11.25" customHeight="1">
      <c r="A9" t="s">
        <v>16</v>
      </c>
      <c r="B9" t="s">
        <v>3202</v>
      </c>
      <c r="C9" t="s">
        <v>3203</v>
      </c>
      <c r="D9" t="s">
        <v>3218</v>
      </c>
      <c r="E9" t="s">
        <v>3219</v>
      </c>
      <c r="F9" t="s">
        <v>3206</v>
      </c>
      <c r="G9" t="s">
        <v>113</v>
      </c>
    </row>
    <row r="10" spans="1:7" ht="11.25" customHeight="1">
      <c r="A10" t="s">
        <v>16</v>
      </c>
      <c r="B10" t="s">
        <v>3202</v>
      </c>
      <c r="C10" t="s">
        <v>3203</v>
      </c>
      <c r="D10" t="s">
        <v>3220</v>
      </c>
      <c r="E10" t="s">
        <v>3221</v>
      </c>
      <c r="F10" t="s">
        <v>3222</v>
      </c>
      <c r="G10" t="s">
        <v>149</v>
      </c>
    </row>
    <row r="11" spans="1:7" ht="11.25" customHeight="1">
      <c r="A11" t="s">
        <v>16</v>
      </c>
      <c r="B11" t="s">
        <v>3202</v>
      </c>
      <c r="C11" t="s">
        <v>3203</v>
      </c>
      <c r="D11" t="s">
        <v>3223</v>
      </c>
      <c r="E11" t="s">
        <v>3224</v>
      </c>
      <c r="F11" t="s">
        <v>3206</v>
      </c>
      <c r="G11" t="s">
        <v>150</v>
      </c>
    </row>
    <row r="12" spans="1:7" ht="11.25" customHeight="1">
      <c r="A12" t="s">
        <v>16</v>
      </c>
      <c r="B12" t="s">
        <v>3202</v>
      </c>
      <c r="C12" t="s">
        <v>3203</v>
      </c>
      <c r="D12" t="s">
        <v>3225</v>
      </c>
      <c r="E12" t="s">
        <v>3226</v>
      </c>
      <c r="F12" t="s">
        <v>3206</v>
      </c>
      <c r="G12" t="s">
        <v>151</v>
      </c>
    </row>
    <row r="13" spans="1:7" ht="11.25" customHeight="1">
      <c r="A13" t="s">
        <v>16</v>
      </c>
      <c r="B13" t="s">
        <v>3202</v>
      </c>
      <c r="C13" t="s">
        <v>3203</v>
      </c>
      <c r="D13" t="s">
        <v>3227</v>
      </c>
      <c r="E13" t="s">
        <v>3228</v>
      </c>
      <c r="F13" t="s">
        <v>3206</v>
      </c>
      <c r="G13" t="s">
        <v>152</v>
      </c>
    </row>
    <row r="14" spans="1:7" ht="11.25" customHeight="1">
      <c r="A14" t="s">
        <v>16</v>
      </c>
      <c r="B14" t="s">
        <v>3229</v>
      </c>
      <c r="C14" t="s">
        <v>3230</v>
      </c>
      <c r="D14" t="s">
        <v>3229</v>
      </c>
      <c r="E14" t="s">
        <v>3230</v>
      </c>
      <c r="F14" t="s">
        <v>3207</v>
      </c>
      <c r="G14" t="s">
        <v>153</v>
      </c>
    </row>
    <row r="15" spans="1:7" ht="11.25" customHeight="1">
      <c r="A15" t="s">
        <v>16</v>
      </c>
      <c r="B15" t="s">
        <v>3229</v>
      </c>
      <c r="C15" t="s">
        <v>3230</v>
      </c>
      <c r="D15" t="s">
        <v>3231</v>
      </c>
      <c r="E15" t="s">
        <v>3232</v>
      </c>
      <c r="F15" t="s">
        <v>3206</v>
      </c>
      <c r="G15" t="s">
        <v>154</v>
      </c>
    </row>
    <row r="16" spans="1:7" ht="11.25" customHeight="1">
      <c r="A16" t="s">
        <v>16</v>
      </c>
      <c r="B16" t="s">
        <v>3229</v>
      </c>
      <c r="C16" t="s">
        <v>3230</v>
      </c>
      <c r="D16" t="s">
        <v>3233</v>
      </c>
      <c r="E16" t="s">
        <v>3234</v>
      </c>
      <c r="F16" t="s">
        <v>3206</v>
      </c>
      <c r="G16" t="s">
        <v>1476</v>
      </c>
    </row>
    <row r="17" spans="1:7" ht="11.25" customHeight="1">
      <c r="A17" t="s">
        <v>16</v>
      </c>
      <c r="B17" t="s">
        <v>3229</v>
      </c>
      <c r="C17" t="s">
        <v>3230</v>
      </c>
      <c r="D17" t="s">
        <v>3235</v>
      </c>
      <c r="E17" t="s">
        <v>3236</v>
      </c>
      <c r="F17" t="s">
        <v>3206</v>
      </c>
      <c r="G17" t="s">
        <v>1482</v>
      </c>
    </row>
    <row r="18" spans="1:7" ht="11.25" customHeight="1">
      <c r="A18" t="s">
        <v>16</v>
      </c>
      <c r="B18" t="s">
        <v>3229</v>
      </c>
      <c r="C18" t="s">
        <v>3230</v>
      </c>
      <c r="D18" t="s">
        <v>3237</v>
      </c>
      <c r="E18" t="s">
        <v>3238</v>
      </c>
      <c r="F18" t="s">
        <v>3206</v>
      </c>
      <c r="G18" t="s">
        <v>1494</v>
      </c>
    </row>
    <row r="19" spans="1:7" ht="11.25" customHeight="1">
      <c r="A19" t="s">
        <v>16</v>
      </c>
      <c r="B19" t="s">
        <v>3229</v>
      </c>
      <c r="C19" t="s">
        <v>3230</v>
      </c>
      <c r="D19" t="s">
        <v>3239</v>
      </c>
      <c r="E19" t="s">
        <v>3240</v>
      </c>
      <c r="F19" t="s">
        <v>3206</v>
      </c>
      <c r="G19" t="s">
        <v>1508</v>
      </c>
    </row>
    <row r="20" spans="1:7" ht="11.25" customHeight="1">
      <c r="A20" t="s">
        <v>16</v>
      </c>
      <c r="B20" t="s">
        <v>3229</v>
      </c>
      <c r="C20" t="s">
        <v>3230</v>
      </c>
      <c r="D20" t="s">
        <v>3241</v>
      </c>
      <c r="E20" t="s">
        <v>3242</v>
      </c>
      <c r="F20" t="s">
        <v>3222</v>
      </c>
      <c r="G20" t="s">
        <v>1520</v>
      </c>
    </row>
    <row r="21" spans="1:7" ht="11.25" customHeight="1">
      <c r="A21" t="s">
        <v>16</v>
      </c>
      <c r="B21" t="s">
        <v>3229</v>
      </c>
      <c r="C21" t="s">
        <v>3230</v>
      </c>
      <c r="D21" t="s">
        <v>3243</v>
      </c>
      <c r="E21" t="s">
        <v>3244</v>
      </c>
      <c r="F21" t="s">
        <v>3206</v>
      </c>
      <c r="G21" t="s">
        <v>1529</v>
      </c>
    </row>
    <row r="22" spans="1:7" ht="11.25" customHeight="1">
      <c r="A22" t="s">
        <v>16</v>
      </c>
      <c r="B22" t="s">
        <v>3229</v>
      </c>
      <c r="C22" t="s">
        <v>3230</v>
      </c>
      <c r="D22" t="s">
        <v>3245</v>
      </c>
      <c r="E22" t="s">
        <v>3246</v>
      </c>
      <c r="F22" t="s">
        <v>3206</v>
      </c>
      <c r="G22" t="s">
        <v>1545</v>
      </c>
    </row>
    <row r="23" spans="1:7" ht="11.25" customHeight="1">
      <c r="A23" t="s">
        <v>16</v>
      </c>
      <c r="B23" t="s">
        <v>3229</v>
      </c>
      <c r="C23" t="s">
        <v>3230</v>
      </c>
      <c r="D23" t="s">
        <v>3247</v>
      </c>
      <c r="E23" t="s">
        <v>3248</v>
      </c>
      <c r="F23" t="s">
        <v>3206</v>
      </c>
      <c r="G23" t="s">
        <v>1552</v>
      </c>
    </row>
    <row r="24" spans="1:7" ht="11.25" customHeight="1">
      <c r="A24" t="s">
        <v>16</v>
      </c>
      <c r="B24" t="s">
        <v>3249</v>
      </c>
      <c r="C24" t="s">
        <v>3250</v>
      </c>
      <c r="D24" t="s">
        <v>3251</v>
      </c>
      <c r="E24" t="s">
        <v>3252</v>
      </c>
      <c r="F24" t="s">
        <v>3206</v>
      </c>
      <c r="G24" t="s">
        <v>1560</v>
      </c>
    </row>
    <row r="25" spans="1:7" ht="11.25" customHeight="1">
      <c r="A25" t="s">
        <v>16</v>
      </c>
      <c r="B25" t="s">
        <v>3249</v>
      </c>
      <c r="C25" t="s">
        <v>3250</v>
      </c>
      <c r="D25" t="s">
        <v>3249</v>
      </c>
      <c r="E25" t="s">
        <v>3250</v>
      </c>
      <c r="F25" t="s">
        <v>3207</v>
      </c>
      <c r="G25" t="s">
        <v>1567</v>
      </c>
    </row>
    <row r="26" spans="1:7" ht="11.25" customHeight="1">
      <c r="A26" t="s">
        <v>16</v>
      </c>
      <c r="B26" t="s">
        <v>3249</v>
      </c>
      <c r="C26" t="s">
        <v>3250</v>
      </c>
      <c r="D26" t="s">
        <v>3253</v>
      </c>
      <c r="E26" t="s">
        <v>3254</v>
      </c>
      <c r="F26" t="s">
        <v>3206</v>
      </c>
      <c r="G26" t="s">
        <v>1571</v>
      </c>
    </row>
    <row r="27" spans="1:7" ht="11.25" customHeight="1">
      <c r="A27" t="s">
        <v>16</v>
      </c>
      <c r="B27" t="s">
        <v>3249</v>
      </c>
      <c r="C27" t="s">
        <v>3250</v>
      </c>
      <c r="D27" t="s">
        <v>3255</v>
      </c>
      <c r="E27" t="s">
        <v>3256</v>
      </c>
      <c r="F27" t="s">
        <v>3257</v>
      </c>
      <c r="G27" t="s">
        <v>1576</v>
      </c>
    </row>
    <row r="28" spans="1:7" ht="11.25" customHeight="1">
      <c r="A28" t="s">
        <v>16</v>
      </c>
      <c r="B28" t="s">
        <v>3249</v>
      </c>
      <c r="C28" t="s">
        <v>3250</v>
      </c>
      <c r="D28" t="s">
        <v>3258</v>
      </c>
      <c r="E28" t="s">
        <v>3259</v>
      </c>
      <c r="F28" t="s">
        <v>3206</v>
      </c>
      <c r="G28" t="s">
        <v>1584</v>
      </c>
    </row>
    <row r="29" spans="1:7" ht="11.25" customHeight="1">
      <c r="A29" t="s">
        <v>16</v>
      </c>
      <c r="B29" t="s">
        <v>3249</v>
      </c>
      <c r="C29" t="s">
        <v>3250</v>
      </c>
      <c r="D29" t="s">
        <v>3260</v>
      </c>
      <c r="E29" t="s">
        <v>3261</v>
      </c>
      <c r="F29" t="s">
        <v>3206</v>
      </c>
      <c r="G29" t="s">
        <v>1586</v>
      </c>
    </row>
    <row r="30" spans="1:7" ht="11.25" customHeight="1">
      <c r="A30" t="s">
        <v>16</v>
      </c>
      <c r="B30" t="s">
        <v>3249</v>
      </c>
      <c r="C30" t="s">
        <v>3250</v>
      </c>
      <c r="D30" t="s">
        <v>3262</v>
      </c>
      <c r="E30" t="s">
        <v>3263</v>
      </c>
      <c r="F30" t="s">
        <v>3206</v>
      </c>
      <c r="G30" t="s">
        <v>1589</v>
      </c>
    </row>
    <row r="31" spans="1:7" ht="11.25" customHeight="1">
      <c r="A31" t="s">
        <v>16</v>
      </c>
      <c r="B31" t="s">
        <v>3249</v>
      </c>
      <c r="C31" t="s">
        <v>3250</v>
      </c>
      <c r="D31" t="s">
        <v>3264</v>
      </c>
      <c r="E31" t="s">
        <v>3265</v>
      </c>
      <c r="F31" t="s">
        <v>3206</v>
      </c>
      <c r="G31" t="s">
        <v>1595</v>
      </c>
    </row>
    <row r="32" spans="1:7" ht="11.25" customHeight="1">
      <c r="A32" t="s">
        <v>16</v>
      </c>
      <c r="B32" t="s">
        <v>3249</v>
      </c>
      <c r="C32" t="s">
        <v>3250</v>
      </c>
      <c r="D32" t="s">
        <v>3266</v>
      </c>
      <c r="E32" t="s">
        <v>3267</v>
      </c>
      <c r="F32" t="s">
        <v>3206</v>
      </c>
      <c r="G32" t="s">
        <v>1597</v>
      </c>
    </row>
    <row r="33" spans="1:7" ht="11.25" customHeight="1">
      <c r="A33" t="s">
        <v>16</v>
      </c>
      <c r="B33" t="s">
        <v>3249</v>
      </c>
      <c r="C33" t="s">
        <v>3250</v>
      </c>
      <c r="D33" t="s">
        <v>3268</v>
      </c>
      <c r="E33" t="s">
        <v>3269</v>
      </c>
      <c r="F33" t="s">
        <v>3206</v>
      </c>
      <c r="G33" t="s">
        <v>1599</v>
      </c>
    </row>
    <row r="34" spans="1:7" ht="11.25" customHeight="1">
      <c r="A34" t="s">
        <v>16</v>
      </c>
      <c r="B34" t="s">
        <v>3249</v>
      </c>
      <c r="C34" t="s">
        <v>3250</v>
      </c>
      <c r="D34" t="s">
        <v>3270</v>
      </c>
      <c r="E34" t="s">
        <v>3271</v>
      </c>
      <c r="F34" t="s">
        <v>3206</v>
      </c>
      <c r="G34" t="s">
        <v>1601</v>
      </c>
    </row>
    <row r="35" spans="1:7" ht="11.25" customHeight="1">
      <c r="A35" t="s">
        <v>16</v>
      </c>
      <c r="B35" t="s">
        <v>3249</v>
      </c>
      <c r="C35" t="s">
        <v>3250</v>
      </c>
      <c r="D35" t="s">
        <v>3272</v>
      </c>
      <c r="E35" t="s">
        <v>3273</v>
      </c>
      <c r="F35" t="s">
        <v>3206</v>
      </c>
      <c r="G35" t="s">
        <v>1606</v>
      </c>
    </row>
    <row r="36" spans="1:7" ht="11.25" customHeight="1">
      <c r="A36" t="s">
        <v>16</v>
      </c>
      <c r="B36" t="s">
        <v>3274</v>
      </c>
      <c r="C36" t="s">
        <v>3275</v>
      </c>
      <c r="D36" t="s">
        <v>3276</v>
      </c>
      <c r="E36" t="s">
        <v>3277</v>
      </c>
      <c r="F36" t="s">
        <v>3206</v>
      </c>
      <c r="G36" t="s">
        <v>1611</v>
      </c>
    </row>
    <row r="37" spans="1:7" ht="11.25" customHeight="1">
      <c r="A37" t="s">
        <v>16</v>
      </c>
      <c r="B37" t="s">
        <v>3274</v>
      </c>
      <c r="C37" t="s">
        <v>3275</v>
      </c>
      <c r="D37" t="s">
        <v>3274</v>
      </c>
      <c r="E37" t="s">
        <v>3275</v>
      </c>
      <c r="F37" t="s">
        <v>3207</v>
      </c>
      <c r="G37" t="s">
        <v>1615</v>
      </c>
    </row>
    <row r="38" spans="1:7" ht="11.25" customHeight="1">
      <c r="A38" t="s">
        <v>16</v>
      </c>
      <c r="B38" t="s">
        <v>3274</v>
      </c>
      <c r="C38" t="s">
        <v>3275</v>
      </c>
      <c r="D38" t="s">
        <v>3278</v>
      </c>
      <c r="E38" t="s">
        <v>3279</v>
      </c>
      <c r="F38" t="s">
        <v>3206</v>
      </c>
      <c r="G38" t="s">
        <v>1623</v>
      </c>
    </row>
    <row r="39" spans="1:7" ht="11.25" customHeight="1">
      <c r="A39" t="s">
        <v>16</v>
      </c>
      <c r="B39" t="s">
        <v>3274</v>
      </c>
      <c r="C39" t="s">
        <v>3275</v>
      </c>
      <c r="D39" t="s">
        <v>3280</v>
      </c>
      <c r="E39" t="s">
        <v>3281</v>
      </c>
      <c r="F39" t="s">
        <v>3206</v>
      </c>
      <c r="G39" t="s">
        <v>1629</v>
      </c>
    </row>
    <row r="40" spans="1:7" ht="11.25" customHeight="1">
      <c r="A40" t="s">
        <v>16</v>
      </c>
      <c r="B40" t="s">
        <v>3274</v>
      </c>
      <c r="C40" t="s">
        <v>3275</v>
      </c>
      <c r="D40" t="s">
        <v>3282</v>
      </c>
      <c r="E40" t="s">
        <v>3283</v>
      </c>
      <c r="F40" t="s">
        <v>3206</v>
      </c>
      <c r="G40" t="s">
        <v>1634</v>
      </c>
    </row>
    <row r="41" spans="1:7" ht="11.25" customHeight="1">
      <c r="A41" t="s">
        <v>16</v>
      </c>
      <c r="B41" t="s">
        <v>3274</v>
      </c>
      <c r="C41" t="s">
        <v>3275</v>
      </c>
      <c r="D41" t="s">
        <v>3284</v>
      </c>
      <c r="E41" t="s">
        <v>3285</v>
      </c>
      <c r="F41" t="s">
        <v>3206</v>
      </c>
      <c r="G41" t="s">
        <v>1638</v>
      </c>
    </row>
    <row r="42" spans="1:7" ht="11.25" customHeight="1">
      <c r="A42" t="s">
        <v>16</v>
      </c>
      <c r="B42" t="s">
        <v>3274</v>
      </c>
      <c r="C42" t="s">
        <v>3275</v>
      </c>
      <c r="D42" t="s">
        <v>3286</v>
      </c>
      <c r="E42" t="s">
        <v>3287</v>
      </c>
      <c r="F42" t="s">
        <v>3206</v>
      </c>
      <c r="G42" t="s">
        <v>1641</v>
      </c>
    </row>
    <row r="43" spans="1:7" ht="11.25" customHeight="1">
      <c r="A43" t="s">
        <v>16</v>
      </c>
      <c r="B43" t="s">
        <v>3274</v>
      </c>
      <c r="C43" t="s">
        <v>3275</v>
      </c>
      <c r="D43" t="s">
        <v>3288</v>
      </c>
      <c r="E43" t="s">
        <v>3289</v>
      </c>
      <c r="F43" t="s">
        <v>3206</v>
      </c>
      <c r="G43" t="s">
        <v>1648</v>
      </c>
    </row>
    <row r="44" spans="1:7" ht="11.25" customHeight="1">
      <c r="A44" t="s">
        <v>16</v>
      </c>
      <c r="B44" t="s">
        <v>3274</v>
      </c>
      <c r="C44" t="s">
        <v>3275</v>
      </c>
      <c r="D44" t="s">
        <v>3245</v>
      </c>
      <c r="E44" t="s">
        <v>3290</v>
      </c>
      <c r="F44" t="s">
        <v>3206</v>
      </c>
      <c r="G44" t="s">
        <v>1657</v>
      </c>
    </row>
    <row r="45" spans="1:7" ht="11.25" customHeight="1">
      <c r="A45" t="s">
        <v>16</v>
      </c>
      <c r="B45" t="s">
        <v>3274</v>
      </c>
      <c r="C45" t="s">
        <v>3275</v>
      </c>
      <c r="D45" t="s">
        <v>3291</v>
      </c>
      <c r="E45" t="s">
        <v>3292</v>
      </c>
      <c r="F45" t="s">
        <v>3206</v>
      </c>
      <c r="G45" t="s">
        <v>1662</v>
      </c>
    </row>
    <row r="46" spans="1:7" ht="11.25" customHeight="1">
      <c r="A46" t="s">
        <v>16</v>
      </c>
      <c r="B46" t="s">
        <v>3274</v>
      </c>
      <c r="C46" t="s">
        <v>3275</v>
      </c>
      <c r="D46" t="s">
        <v>3293</v>
      </c>
      <c r="E46" t="s">
        <v>3294</v>
      </c>
      <c r="F46" t="s">
        <v>3206</v>
      </c>
      <c r="G46" t="s">
        <v>1665</v>
      </c>
    </row>
    <row r="47" spans="1:7" ht="11.25" customHeight="1">
      <c r="A47" t="s">
        <v>16</v>
      </c>
      <c r="B47" t="s">
        <v>3295</v>
      </c>
      <c r="C47" t="s">
        <v>3296</v>
      </c>
      <c r="D47" t="s">
        <v>3297</v>
      </c>
      <c r="E47" t="s">
        <v>3298</v>
      </c>
      <c r="F47" t="s">
        <v>3206</v>
      </c>
      <c r="G47" t="s">
        <v>1671</v>
      </c>
    </row>
    <row r="48" spans="1:7" ht="11.25" customHeight="1">
      <c r="A48" t="s">
        <v>16</v>
      </c>
      <c r="B48" t="s">
        <v>3295</v>
      </c>
      <c r="C48" t="s">
        <v>3296</v>
      </c>
      <c r="D48" t="s">
        <v>3295</v>
      </c>
      <c r="E48" t="s">
        <v>3296</v>
      </c>
      <c r="F48" t="s">
        <v>3207</v>
      </c>
      <c r="G48" t="s">
        <v>1676</v>
      </c>
    </row>
    <row r="49" spans="1:7" ht="11.25" customHeight="1">
      <c r="A49" t="s">
        <v>16</v>
      </c>
      <c r="B49" t="s">
        <v>3295</v>
      </c>
      <c r="C49" t="s">
        <v>3296</v>
      </c>
      <c r="D49" t="s">
        <v>3299</v>
      </c>
      <c r="E49" t="s">
        <v>3300</v>
      </c>
      <c r="F49" t="s">
        <v>3206</v>
      </c>
      <c r="G49" t="s">
        <v>1679</v>
      </c>
    </row>
    <row r="50" spans="1:7" ht="11.25" customHeight="1">
      <c r="A50" t="s">
        <v>16</v>
      </c>
      <c r="B50" t="s">
        <v>3295</v>
      </c>
      <c r="C50" t="s">
        <v>3296</v>
      </c>
      <c r="D50" t="s">
        <v>3301</v>
      </c>
      <c r="E50" t="s">
        <v>3302</v>
      </c>
      <c r="F50" t="s">
        <v>3206</v>
      </c>
      <c r="G50" t="s">
        <v>1682</v>
      </c>
    </row>
    <row r="51" spans="1:7" ht="11.25" customHeight="1">
      <c r="A51" t="s">
        <v>16</v>
      </c>
      <c r="B51" t="s">
        <v>3295</v>
      </c>
      <c r="C51" t="s">
        <v>3296</v>
      </c>
      <c r="D51" t="s">
        <v>3303</v>
      </c>
      <c r="E51" t="s">
        <v>3304</v>
      </c>
      <c r="F51" t="s">
        <v>3206</v>
      </c>
      <c r="G51" t="s">
        <v>1687</v>
      </c>
    </row>
    <row r="52" spans="1:7" ht="11.25" customHeight="1">
      <c r="A52" t="s">
        <v>16</v>
      </c>
      <c r="B52" t="s">
        <v>3295</v>
      </c>
      <c r="C52" t="s">
        <v>3296</v>
      </c>
      <c r="D52" t="s">
        <v>3305</v>
      </c>
      <c r="E52" t="s">
        <v>3306</v>
      </c>
      <c r="F52" t="s">
        <v>3206</v>
      </c>
      <c r="G52" t="s">
        <v>1691</v>
      </c>
    </row>
    <row r="53" spans="1:7" ht="11.25" customHeight="1">
      <c r="A53" t="s">
        <v>16</v>
      </c>
      <c r="B53" t="s">
        <v>3295</v>
      </c>
      <c r="C53" t="s">
        <v>3296</v>
      </c>
      <c r="D53" t="s">
        <v>3307</v>
      </c>
      <c r="E53" t="s">
        <v>3308</v>
      </c>
      <c r="F53" t="s">
        <v>3206</v>
      </c>
      <c r="G53" t="s">
        <v>1693</v>
      </c>
    </row>
    <row r="54" spans="1:7" ht="11.25" customHeight="1">
      <c r="A54" t="s">
        <v>16</v>
      </c>
      <c r="B54" t="s">
        <v>3295</v>
      </c>
      <c r="C54" t="s">
        <v>3296</v>
      </c>
      <c r="D54" t="s">
        <v>3309</v>
      </c>
      <c r="E54" t="s">
        <v>3310</v>
      </c>
      <c r="F54" t="s">
        <v>3206</v>
      </c>
      <c r="G54" t="s">
        <v>1696</v>
      </c>
    </row>
    <row r="55" spans="1:7" ht="11.25" customHeight="1">
      <c r="A55" t="s">
        <v>16</v>
      </c>
      <c r="B55" t="s">
        <v>3311</v>
      </c>
      <c r="C55" t="s">
        <v>3312</v>
      </c>
      <c r="D55" t="s">
        <v>3313</v>
      </c>
      <c r="E55" t="s">
        <v>3314</v>
      </c>
      <c r="F55" t="s">
        <v>3206</v>
      </c>
      <c r="G55" t="s">
        <v>1700</v>
      </c>
    </row>
    <row r="56" spans="1:7" ht="11.25" customHeight="1">
      <c r="A56" t="s">
        <v>16</v>
      </c>
      <c r="B56" t="s">
        <v>3311</v>
      </c>
      <c r="C56" t="s">
        <v>3312</v>
      </c>
      <c r="D56" t="s">
        <v>3315</v>
      </c>
      <c r="E56" t="s">
        <v>3316</v>
      </c>
      <c r="F56" t="s">
        <v>3206</v>
      </c>
      <c r="G56" t="s">
        <v>1703</v>
      </c>
    </row>
    <row r="57" spans="1:7" ht="11.25" customHeight="1">
      <c r="A57" t="s">
        <v>16</v>
      </c>
      <c r="B57" t="s">
        <v>3311</v>
      </c>
      <c r="C57" t="s">
        <v>3312</v>
      </c>
      <c r="D57" t="s">
        <v>3317</v>
      </c>
      <c r="E57" t="s">
        <v>3318</v>
      </c>
      <c r="F57" t="s">
        <v>3206</v>
      </c>
      <c r="G57" t="s">
        <v>1706</v>
      </c>
    </row>
    <row r="58" spans="1:7" ht="11.25" customHeight="1">
      <c r="A58" t="s">
        <v>16</v>
      </c>
      <c r="B58" t="s">
        <v>3311</v>
      </c>
      <c r="C58" t="s">
        <v>3312</v>
      </c>
      <c r="D58" t="s">
        <v>3319</v>
      </c>
      <c r="E58" t="s">
        <v>3320</v>
      </c>
      <c r="F58" t="s">
        <v>3257</v>
      </c>
      <c r="G58" t="s">
        <v>1709</v>
      </c>
    </row>
    <row r="59" spans="1:7" ht="11.25" customHeight="1">
      <c r="A59" t="s">
        <v>16</v>
      </c>
      <c r="B59" t="s">
        <v>3311</v>
      </c>
      <c r="C59" t="s">
        <v>3312</v>
      </c>
      <c r="D59" t="s">
        <v>3321</v>
      </c>
      <c r="E59" t="s">
        <v>3322</v>
      </c>
      <c r="F59" t="s">
        <v>3257</v>
      </c>
      <c r="G59" t="s">
        <v>1713</v>
      </c>
    </row>
    <row r="60" spans="1:7" ht="11.25" customHeight="1">
      <c r="A60" t="s">
        <v>16</v>
      </c>
      <c r="B60" t="s">
        <v>3311</v>
      </c>
      <c r="C60" t="s">
        <v>3312</v>
      </c>
      <c r="D60" t="s">
        <v>3311</v>
      </c>
      <c r="E60" t="s">
        <v>3312</v>
      </c>
      <c r="F60" t="s">
        <v>3207</v>
      </c>
      <c r="G60" t="s">
        <v>1716</v>
      </c>
    </row>
    <row r="61" spans="1:7" ht="11.25" customHeight="1">
      <c r="A61" t="s">
        <v>16</v>
      </c>
      <c r="B61" t="s">
        <v>3311</v>
      </c>
      <c r="C61" t="s">
        <v>3312</v>
      </c>
      <c r="D61" t="s">
        <v>3323</v>
      </c>
      <c r="E61" t="s">
        <v>3324</v>
      </c>
      <c r="F61" t="s">
        <v>3206</v>
      </c>
      <c r="G61" t="s">
        <v>3325</v>
      </c>
    </row>
    <row r="62" spans="1:7" ht="11.25" customHeight="1">
      <c r="A62" t="s">
        <v>16</v>
      </c>
      <c r="B62" t="s">
        <v>3311</v>
      </c>
      <c r="C62" t="s">
        <v>3312</v>
      </c>
      <c r="D62" t="s">
        <v>3326</v>
      </c>
      <c r="E62" t="s">
        <v>3327</v>
      </c>
      <c r="F62" t="s">
        <v>3206</v>
      </c>
      <c r="G62" t="s">
        <v>3328</v>
      </c>
    </row>
    <row r="63" spans="1:7" ht="11.25" customHeight="1">
      <c r="A63" t="s">
        <v>16</v>
      </c>
      <c r="B63" t="s">
        <v>3311</v>
      </c>
      <c r="C63" t="s">
        <v>3312</v>
      </c>
      <c r="D63" t="s">
        <v>3329</v>
      </c>
      <c r="E63" t="s">
        <v>3330</v>
      </c>
      <c r="F63" t="s">
        <v>3206</v>
      </c>
      <c r="G63" t="s">
        <v>3331</v>
      </c>
    </row>
    <row r="64" spans="1:7" ht="11.25" customHeight="1">
      <c r="A64" t="s">
        <v>16</v>
      </c>
      <c r="B64" t="s">
        <v>3311</v>
      </c>
      <c r="C64" t="s">
        <v>3312</v>
      </c>
      <c r="D64" t="s">
        <v>3332</v>
      </c>
      <c r="E64" t="s">
        <v>3333</v>
      </c>
      <c r="F64" t="s">
        <v>3206</v>
      </c>
      <c r="G64" t="s">
        <v>3334</v>
      </c>
    </row>
    <row r="65" spans="1:7" ht="11.25" customHeight="1">
      <c r="A65" t="s">
        <v>16</v>
      </c>
      <c r="B65" t="s">
        <v>3311</v>
      </c>
      <c r="C65" t="s">
        <v>3312</v>
      </c>
      <c r="D65" t="s">
        <v>3335</v>
      </c>
      <c r="E65" t="s">
        <v>3336</v>
      </c>
      <c r="F65" t="s">
        <v>3222</v>
      </c>
      <c r="G65" t="s">
        <v>3337</v>
      </c>
    </row>
    <row r="66" spans="1:7" ht="11.25" customHeight="1">
      <c r="A66" t="s">
        <v>16</v>
      </c>
      <c r="B66" t="s">
        <v>3311</v>
      </c>
      <c r="C66" t="s">
        <v>3312</v>
      </c>
      <c r="D66" t="s">
        <v>3338</v>
      </c>
      <c r="E66" t="s">
        <v>3339</v>
      </c>
      <c r="F66" t="s">
        <v>3206</v>
      </c>
      <c r="G66" t="s">
        <v>3340</v>
      </c>
    </row>
    <row r="67" spans="1:7" ht="11.25" customHeight="1">
      <c r="A67" t="s">
        <v>16</v>
      </c>
      <c r="B67" t="s">
        <v>3311</v>
      </c>
      <c r="C67" t="s">
        <v>3312</v>
      </c>
      <c r="D67" t="s">
        <v>3341</v>
      </c>
      <c r="E67" t="s">
        <v>3342</v>
      </c>
      <c r="F67" t="s">
        <v>3206</v>
      </c>
      <c r="G67" t="s">
        <v>2033</v>
      </c>
    </row>
    <row r="68" spans="1:7" ht="11.25" customHeight="1">
      <c r="A68" t="s">
        <v>16</v>
      </c>
      <c r="B68" t="s">
        <v>3311</v>
      </c>
      <c r="C68" t="s">
        <v>3312</v>
      </c>
      <c r="D68" t="s">
        <v>3343</v>
      </c>
      <c r="E68" t="s">
        <v>3344</v>
      </c>
      <c r="F68" t="s">
        <v>3206</v>
      </c>
      <c r="G68" t="s">
        <v>3345</v>
      </c>
    </row>
    <row r="69" spans="1:7" ht="11.25" customHeight="1">
      <c r="A69" t="s">
        <v>16</v>
      </c>
      <c r="B69" t="s">
        <v>3311</v>
      </c>
      <c r="C69" t="s">
        <v>3312</v>
      </c>
      <c r="D69" t="s">
        <v>3346</v>
      </c>
      <c r="E69" t="s">
        <v>3347</v>
      </c>
      <c r="F69" t="s">
        <v>3206</v>
      </c>
      <c r="G69" t="s">
        <v>2236</v>
      </c>
    </row>
    <row r="70" spans="1:7" ht="11.25" customHeight="1">
      <c r="A70" t="s">
        <v>16</v>
      </c>
      <c r="B70" t="s">
        <v>3311</v>
      </c>
      <c r="C70" t="s">
        <v>3312</v>
      </c>
      <c r="D70" t="s">
        <v>3348</v>
      </c>
      <c r="E70" t="s">
        <v>3349</v>
      </c>
      <c r="F70" t="s">
        <v>3206</v>
      </c>
      <c r="G70" t="s">
        <v>3350</v>
      </c>
    </row>
    <row r="71" spans="1:7" ht="11.25" customHeight="1">
      <c r="A71" t="s">
        <v>16</v>
      </c>
      <c r="B71" t="s">
        <v>3351</v>
      </c>
      <c r="C71" t="s">
        <v>3352</v>
      </c>
      <c r="D71" t="s">
        <v>3351</v>
      </c>
      <c r="E71" t="s">
        <v>3352</v>
      </c>
      <c r="F71" t="s">
        <v>3353</v>
      </c>
      <c r="G71" t="s">
        <v>3354</v>
      </c>
    </row>
    <row r="72" spans="1:7" ht="11.25" customHeight="1">
      <c r="A72" t="s">
        <v>16</v>
      </c>
      <c r="B72" t="s">
        <v>3355</v>
      </c>
      <c r="C72" t="s">
        <v>3356</v>
      </c>
      <c r="D72" t="s">
        <v>3357</v>
      </c>
      <c r="E72" t="s">
        <v>3358</v>
      </c>
      <c r="F72" t="s">
        <v>3206</v>
      </c>
      <c r="G72" t="s">
        <v>3359</v>
      </c>
    </row>
    <row r="73" spans="1:7" ht="11.25" customHeight="1">
      <c r="A73" t="s">
        <v>16</v>
      </c>
      <c r="B73" t="s">
        <v>3355</v>
      </c>
      <c r="C73" t="s">
        <v>3356</v>
      </c>
      <c r="D73" t="s">
        <v>3355</v>
      </c>
      <c r="E73" t="s">
        <v>3356</v>
      </c>
      <c r="F73" t="s">
        <v>3207</v>
      </c>
      <c r="G73" t="s">
        <v>3360</v>
      </c>
    </row>
    <row r="74" spans="1:7" ht="11.25" customHeight="1">
      <c r="A74" t="s">
        <v>16</v>
      </c>
      <c r="B74" t="s">
        <v>3355</v>
      </c>
      <c r="C74" t="s">
        <v>3356</v>
      </c>
      <c r="D74" t="s">
        <v>3361</v>
      </c>
      <c r="E74" t="s">
        <v>3362</v>
      </c>
      <c r="F74" t="s">
        <v>3206</v>
      </c>
      <c r="G74" t="s">
        <v>3363</v>
      </c>
    </row>
    <row r="75" spans="1:7" ht="11.25" customHeight="1">
      <c r="A75" t="s">
        <v>16</v>
      </c>
      <c r="B75" t="s">
        <v>3355</v>
      </c>
      <c r="C75" t="s">
        <v>3356</v>
      </c>
      <c r="D75" t="s">
        <v>3364</v>
      </c>
      <c r="E75" t="s">
        <v>3365</v>
      </c>
      <c r="F75" t="s">
        <v>3206</v>
      </c>
      <c r="G75" t="s">
        <v>3366</v>
      </c>
    </row>
    <row r="76" spans="1:7" ht="11.25" customHeight="1">
      <c r="A76" t="s">
        <v>16</v>
      </c>
      <c r="B76" t="s">
        <v>3355</v>
      </c>
      <c r="C76" t="s">
        <v>3356</v>
      </c>
      <c r="D76" t="s">
        <v>3367</v>
      </c>
      <c r="E76" t="s">
        <v>3368</v>
      </c>
      <c r="F76" t="s">
        <v>3206</v>
      </c>
      <c r="G76" t="s">
        <v>3369</v>
      </c>
    </row>
    <row r="77" spans="1:7" ht="11.25" customHeight="1">
      <c r="A77" t="s">
        <v>16</v>
      </c>
      <c r="B77" t="s">
        <v>3355</v>
      </c>
      <c r="C77" t="s">
        <v>3356</v>
      </c>
      <c r="D77" t="s">
        <v>3370</v>
      </c>
      <c r="E77" t="s">
        <v>3371</v>
      </c>
      <c r="F77" t="s">
        <v>3206</v>
      </c>
      <c r="G77" t="s">
        <v>3372</v>
      </c>
    </row>
    <row r="78" spans="1:7" ht="11.25" customHeight="1">
      <c r="A78" t="s">
        <v>16</v>
      </c>
      <c r="B78" t="s">
        <v>3355</v>
      </c>
      <c r="C78" t="s">
        <v>3356</v>
      </c>
      <c r="D78" t="s">
        <v>3373</v>
      </c>
      <c r="E78" t="s">
        <v>3374</v>
      </c>
      <c r="F78" t="s">
        <v>3222</v>
      </c>
      <c r="G78" t="s">
        <v>3375</v>
      </c>
    </row>
    <row r="79" spans="1:7" ht="11.25" customHeight="1">
      <c r="A79" t="s">
        <v>16</v>
      </c>
      <c r="B79" t="s">
        <v>3355</v>
      </c>
      <c r="C79" t="s">
        <v>3356</v>
      </c>
      <c r="D79" t="s">
        <v>3376</v>
      </c>
      <c r="E79" t="s">
        <v>3377</v>
      </c>
      <c r="F79" t="s">
        <v>3206</v>
      </c>
      <c r="G79" t="s">
        <v>3378</v>
      </c>
    </row>
    <row r="80" spans="1:7" ht="11.25" customHeight="1">
      <c r="A80" t="s">
        <v>16</v>
      </c>
      <c r="B80" t="s">
        <v>3355</v>
      </c>
      <c r="C80" t="s">
        <v>3356</v>
      </c>
      <c r="D80" t="s">
        <v>3379</v>
      </c>
      <c r="E80" t="s">
        <v>3380</v>
      </c>
      <c r="F80" t="s">
        <v>3206</v>
      </c>
      <c r="G80" t="s">
        <v>3381</v>
      </c>
    </row>
    <row r="81" spans="1:7" ht="11.25" customHeight="1">
      <c r="A81" t="s">
        <v>16</v>
      </c>
      <c r="B81" t="s">
        <v>3355</v>
      </c>
      <c r="C81" t="s">
        <v>3356</v>
      </c>
      <c r="D81" t="s">
        <v>3382</v>
      </c>
      <c r="E81" t="s">
        <v>3383</v>
      </c>
      <c r="F81" t="s">
        <v>3206</v>
      </c>
      <c r="G81" t="s">
        <v>3384</v>
      </c>
    </row>
    <row r="82" spans="1:7" ht="11.25" customHeight="1">
      <c r="A82" t="s">
        <v>16</v>
      </c>
      <c r="B82" t="s">
        <v>3355</v>
      </c>
      <c r="C82" t="s">
        <v>3356</v>
      </c>
      <c r="D82" t="s">
        <v>3385</v>
      </c>
      <c r="E82" t="s">
        <v>3386</v>
      </c>
      <c r="F82" t="s">
        <v>3206</v>
      </c>
      <c r="G82" t="s">
        <v>3387</v>
      </c>
    </row>
    <row r="83" spans="1:7" ht="11.25" customHeight="1">
      <c r="A83" t="s">
        <v>16</v>
      </c>
      <c r="B83" t="s">
        <v>3355</v>
      </c>
      <c r="C83" t="s">
        <v>3356</v>
      </c>
      <c r="D83" t="s">
        <v>3388</v>
      </c>
      <c r="E83" t="s">
        <v>3389</v>
      </c>
      <c r="F83" t="s">
        <v>3206</v>
      </c>
      <c r="G83" t="s">
        <v>3390</v>
      </c>
    </row>
    <row r="84" spans="1:7" ht="11.25" customHeight="1">
      <c r="A84" t="s">
        <v>16</v>
      </c>
      <c r="B84" t="s">
        <v>3391</v>
      </c>
      <c r="C84" t="s">
        <v>3392</v>
      </c>
      <c r="D84" t="s">
        <v>3393</v>
      </c>
      <c r="E84" t="s">
        <v>3394</v>
      </c>
      <c r="F84" t="s">
        <v>3206</v>
      </c>
      <c r="G84" t="s">
        <v>3395</v>
      </c>
    </row>
    <row r="85" spans="1:7" ht="11.25" customHeight="1">
      <c r="A85" t="s">
        <v>16</v>
      </c>
      <c r="B85" t="s">
        <v>3391</v>
      </c>
      <c r="C85" t="s">
        <v>3392</v>
      </c>
      <c r="D85" t="s">
        <v>3396</v>
      </c>
      <c r="E85" t="s">
        <v>3397</v>
      </c>
      <c r="F85" t="s">
        <v>3206</v>
      </c>
      <c r="G85" t="s">
        <v>3398</v>
      </c>
    </row>
    <row r="86" spans="1:7" ht="11.25" customHeight="1">
      <c r="A86" t="s">
        <v>16</v>
      </c>
      <c r="B86" t="s">
        <v>3391</v>
      </c>
      <c r="C86" t="s">
        <v>3392</v>
      </c>
      <c r="D86" t="s">
        <v>3391</v>
      </c>
      <c r="E86" t="s">
        <v>3392</v>
      </c>
      <c r="F86" t="s">
        <v>3207</v>
      </c>
      <c r="G86" t="s">
        <v>3399</v>
      </c>
    </row>
    <row r="87" spans="1:7" ht="11.25" customHeight="1">
      <c r="A87" t="s">
        <v>16</v>
      </c>
      <c r="B87" t="s">
        <v>3391</v>
      </c>
      <c r="C87" t="s">
        <v>3392</v>
      </c>
      <c r="D87" t="s">
        <v>3400</v>
      </c>
      <c r="E87" t="s">
        <v>3401</v>
      </c>
      <c r="F87" t="s">
        <v>3206</v>
      </c>
      <c r="G87" t="s">
        <v>3402</v>
      </c>
    </row>
    <row r="88" spans="1:7" ht="11.25" customHeight="1">
      <c r="A88" t="s">
        <v>16</v>
      </c>
      <c r="B88" t="s">
        <v>3391</v>
      </c>
      <c r="C88" t="s">
        <v>3392</v>
      </c>
      <c r="D88" t="s">
        <v>3403</v>
      </c>
      <c r="E88" t="s">
        <v>3404</v>
      </c>
      <c r="F88" t="s">
        <v>3222</v>
      </c>
      <c r="G88" t="s">
        <v>3405</v>
      </c>
    </row>
    <row r="89" spans="1:7" ht="11.25" customHeight="1">
      <c r="A89" t="s">
        <v>16</v>
      </c>
      <c r="B89" t="s">
        <v>3391</v>
      </c>
      <c r="C89" t="s">
        <v>3392</v>
      </c>
      <c r="D89" t="s">
        <v>3406</v>
      </c>
      <c r="E89" t="s">
        <v>3407</v>
      </c>
      <c r="F89" t="s">
        <v>3206</v>
      </c>
      <c r="G89" t="s">
        <v>3408</v>
      </c>
    </row>
    <row r="90" spans="1:7" ht="11.25" customHeight="1">
      <c r="A90" t="s">
        <v>16</v>
      </c>
      <c r="B90" t="s">
        <v>3391</v>
      </c>
      <c r="C90" t="s">
        <v>3392</v>
      </c>
      <c r="D90" t="s">
        <v>3409</v>
      </c>
      <c r="E90" t="s">
        <v>3410</v>
      </c>
      <c r="F90" t="s">
        <v>3206</v>
      </c>
      <c r="G90" t="s">
        <v>3411</v>
      </c>
    </row>
    <row r="91" spans="1:7" ht="11.25" customHeight="1">
      <c r="A91" t="s">
        <v>16</v>
      </c>
      <c r="B91" t="s">
        <v>3412</v>
      </c>
      <c r="C91" t="s">
        <v>3413</v>
      </c>
      <c r="D91" t="s">
        <v>3414</v>
      </c>
      <c r="E91" t="s">
        <v>3415</v>
      </c>
      <c r="F91" t="s">
        <v>3206</v>
      </c>
      <c r="G91" t="s">
        <v>3416</v>
      </c>
    </row>
    <row r="92" spans="1:7" ht="11.25" customHeight="1">
      <c r="A92" t="s">
        <v>16</v>
      </c>
      <c r="B92" t="s">
        <v>3412</v>
      </c>
      <c r="C92" t="s">
        <v>3413</v>
      </c>
      <c r="D92" t="s">
        <v>3417</v>
      </c>
      <c r="E92" t="s">
        <v>3418</v>
      </c>
      <c r="F92" t="s">
        <v>3206</v>
      </c>
      <c r="G92" t="s">
        <v>3419</v>
      </c>
    </row>
    <row r="93" spans="1:7" ht="11.25" customHeight="1">
      <c r="A93" t="s">
        <v>16</v>
      </c>
      <c r="B93" t="s">
        <v>3412</v>
      </c>
      <c r="C93" t="s">
        <v>3413</v>
      </c>
      <c r="D93" t="s">
        <v>3420</v>
      </c>
      <c r="E93" t="s">
        <v>3421</v>
      </c>
      <c r="F93" t="s">
        <v>3206</v>
      </c>
      <c r="G93" t="s">
        <v>3422</v>
      </c>
    </row>
    <row r="94" spans="1:7" ht="11.25" customHeight="1">
      <c r="A94" t="s">
        <v>16</v>
      </c>
      <c r="B94" t="s">
        <v>3412</v>
      </c>
      <c r="C94" t="s">
        <v>3413</v>
      </c>
      <c r="D94" t="s">
        <v>3423</v>
      </c>
      <c r="E94" t="s">
        <v>3424</v>
      </c>
      <c r="F94" t="s">
        <v>3257</v>
      </c>
      <c r="G94" t="s">
        <v>3425</v>
      </c>
    </row>
    <row r="95" spans="1:7" ht="11.25" customHeight="1">
      <c r="A95" t="s">
        <v>16</v>
      </c>
      <c r="B95" t="s">
        <v>3412</v>
      </c>
      <c r="C95" t="s">
        <v>3413</v>
      </c>
      <c r="D95" t="s">
        <v>3412</v>
      </c>
      <c r="E95" t="s">
        <v>3413</v>
      </c>
      <c r="F95" t="s">
        <v>3207</v>
      </c>
      <c r="G95" t="s">
        <v>3426</v>
      </c>
    </row>
    <row r="96" spans="1:7" ht="11.25" customHeight="1">
      <c r="A96" t="s">
        <v>16</v>
      </c>
      <c r="B96" t="s">
        <v>3412</v>
      </c>
      <c r="C96" t="s">
        <v>3413</v>
      </c>
      <c r="D96" t="s">
        <v>3427</v>
      </c>
      <c r="E96" t="s">
        <v>3428</v>
      </c>
      <c r="F96" t="s">
        <v>3206</v>
      </c>
      <c r="G96" t="s">
        <v>3429</v>
      </c>
    </row>
    <row r="97" spans="1:7" ht="11.25" customHeight="1">
      <c r="A97" t="s">
        <v>16</v>
      </c>
      <c r="B97" t="s">
        <v>3412</v>
      </c>
      <c r="C97" t="s">
        <v>3413</v>
      </c>
      <c r="D97" t="s">
        <v>3430</v>
      </c>
      <c r="E97" t="s">
        <v>3431</v>
      </c>
      <c r="F97" t="s">
        <v>3206</v>
      </c>
      <c r="G97" t="s">
        <v>3432</v>
      </c>
    </row>
    <row r="98" spans="1:7" ht="11.25" customHeight="1">
      <c r="A98" t="s">
        <v>16</v>
      </c>
      <c r="B98" t="s">
        <v>3412</v>
      </c>
      <c r="C98" t="s">
        <v>3413</v>
      </c>
      <c r="D98" t="s">
        <v>3433</v>
      </c>
      <c r="E98" t="s">
        <v>3434</v>
      </c>
      <c r="F98" t="s">
        <v>3206</v>
      </c>
      <c r="G98" t="s">
        <v>3435</v>
      </c>
    </row>
    <row r="99" spans="1:7" ht="11.25" customHeight="1">
      <c r="A99" t="s">
        <v>16</v>
      </c>
      <c r="B99" t="s">
        <v>3412</v>
      </c>
      <c r="C99" t="s">
        <v>3413</v>
      </c>
      <c r="D99" t="s">
        <v>3436</v>
      </c>
      <c r="E99" t="s">
        <v>3437</v>
      </c>
      <c r="F99" t="s">
        <v>3206</v>
      </c>
      <c r="G99" t="s">
        <v>3438</v>
      </c>
    </row>
    <row r="100" spans="1:7" ht="11.25" customHeight="1">
      <c r="A100" t="s">
        <v>16</v>
      </c>
      <c r="B100" t="s">
        <v>3412</v>
      </c>
      <c r="C100" t="s">
        <v>3413</v>
      </c>
      <c r="D100" t="s">
        <v>3439</v>
      </c>
      <c r="E100" t="s">
        <v>3440</v>
      </c>
      <c r="F100" t="s">
        <v>3206</v>
      </c>
      <c r="G100" t="s">
        <v>3441</v>
      </c>
    </row>
    <row r="101" spans="1:7" ht="11.25" customHeight="1">
      <c r="A101" t="s">
        <v>16</v>
      </c>
      <c r="B101" t="s">
        <v>3412</v>
      </c>
      <c r="C101" t="s">
        <v>3413</v>
      </c>
      <c r="D101" t="s">
        <v>3442</v>
      </c>
      <c r="E101" t="s">
        <v>3443</v>
      </c>
      <c r="F101" t="s">
        <v>3206</v>
      </c>
      <c r="G101" t="s">
        <v>3444</v>
      </c>
    </row>
    <row r="102" spans="1:7" ht="11.25" customHeight="1">
      <c r="A102" t="s">
        <v>16</v>
      </c>
      <c r="B102" t="s">
        <v>3412</v>
      </c>
      <c r="C102" t="s">
        <v>3413</v>
      </c>
      <c r="D102" t="s">
        <v>3445</v>
      </c>
      <c r="E102" t="s">
        <v>3446</v>
      </c>
      <c r="F102" t="s">
        <v>3206</v>
      </c>
      <c r="G102" t="s">
        <v>3447</v>
      </c>
    </row>
    <row r="103" spans="1:7" ht="11.25" customHeight="1">
      <c r="A103" t="s">
        <v>16</v>
      </c>
      <c r="B103" t="s">
        <v>3412</v>
      </c>
      <c r="C103" t="s">
        <v>3413</v>
      </c>
      <c r="D103" t="s">
        <v>3448</v>
      </c>
      <c r="E103" t="s">
        <v>3449</v>
      </c>
      <c r="F103" t="s">
        <v>3206</v>
      </c>
      <c r="G103" t="s">
        <v>3450</v>
      </c>
    </row>
    <row r="104" spans="1:7" ht="11.25" customHeight="1">
      <c r="A104" t="s">
        <v>16</v>
      </c>
      <c r="B104" t="s">
        <v>3451</v>
      </c>
      <c r="C104" t="s">
        <v>3452</v>
      </c>
      <c r="D104" t="s">
        <v>3453</v>
      </c>
      <c r="E104" t="s">
        <v>3454</v>
      </c>
      <c r="F104" t="s">
        <v>3206</v>
      </c>
      <c r="G104" t="s">
        <v>3455</v>
      </c>
    </row>
    <row r="105" spans="1:7" ht="11.25" customHeight="1">
      <c r="A105" t="s">
        <v>16</v>
      </c>
      <c r="B105" t="s">
        <v>3451</v>
      </c>
      <c r="C105" t="s">
        <v>3452</v>
      </c>
      <c r="D105" t="s">
        <v>3451</v>
      </c>
      <c r="E105" t="s">
        <v>3452</v>
      </c>
      <c r="F105" t="s">
        <v>3207</v>
      </c>
      <c r="G105" t="s">
        <v>3456</v>
      </c>
    </row>
    <row r="106" spans="1:7" ht="11.25" customHeight="1">
      <c r="A106" t="s">
        <v>16</v>
      </c>
      <c r="B106" t="s">
        <v>3451</v>
      </c>
      <c r="C106" t="s">
        <v>3452</v>
      </c>
      <c r="D106" t="s">
        <v>3457</v>
      </c>
      <c r="E106" t="s">
        <v>3458</v>
      </c>
      <c r="F106" t="s">
        <v>3206</v>
      </c>
      <c r="G106" t="s">
        <v>3459</v>
      </c>
    </row>
    <row r="107" spans="1:7" ht="11.25" customHeight="1">
      <c r="A107" t="s">
        <v>16</v>
      </c>
      <c r="B107" t="s">
        <v>3451</v>
      </c>
      <c r="C107" t="s">
        <v>3452</v>
      </c>
      <c r="D107" t="s">
        <v>3460</v>
      </c>
      <c r="E107" t="s">
        <v>3461</v>
      </c>
      <c r="F107" t="s">
        <v>3206</v>
      </c>
      <c r="G107" t="s">
        <v>3462</v>
      </c>
    </row>
    <row r="108" spans="1:7" ht="11.25" customHeight="1">
      <c r="A108" t="s">
        <v>16</v>
      </c>
      <c r="B108" t="s">
        <v>3451</v>
      </c>
      <c r="C108" t="s">
        <v>3452</v>
      </c>
      <c r="D108" t="s">
        <v>3463</v>
      </c>
      <c r="E108" t="s">
        <v>3464</v>
      </c>
      <c r="F108" t="s">
        <v>3206</v>
      </c>
      <c r="G108" t="s">
        <v>3465</v>
      </c>
    </row>
    <row r="109" spans="1:7" ht="11.25" customHeight="1">
      <c r="A109" t="s">
        <v>16</v>
      </c>
      <c r="B109" t="s">
        <v>3451</v>
      </c>
      <c r="C109" t="s">
        <v>3452</v>
      </c>
      <c r="D109" t="s">
        <v>3466</v>
      </c>
      <c r="E109" t="s">
        <v>3467</v>
      </c>
      <c r="F109" t="s">
        <v>3206</v>
      </c>
      <c r="G109" t="s">
        <v>3468</v>
      </c>
    </row>
    <row r="110" spans="1:7" ht="11.25" customHeight="1">
      <c r="A110" t="s">
        <v>16</v>
      </c>
      <c r="B110" t="s">
        <v>3451</v>
      </c>
      <c r="C110" t="s">
        <v>3452</v>
      </c>
      <c r="D110" t="s">
        <v>3469</v>
      </c>
      <c r="E110" t="s">
        <v>3470</v>
      </c>
      <c r="F110" t="s">
        <v>3206</v>
      </c>
      <c r="G110" t="s">
        <v>3471</v>
      </c>
    </row>
    <row r="111" spans="1:7" ht="11.25" customHeight="1">
      <c r="A111" t="s">
        <v>16</v>
      </c>
      <c r="B111" t="s">
        <v>3472</v>
      </c>
      <c r="C111" t="s">
        <v>3473</v>
      </c>
      <c r="D111" t="s">
        <v>3474</v>
      </c>
      <c r="E111" t="s">
        <v>3475</v>
      </c>
      <c r="F111" t="s">
        <v>3206</v>
      </c>
      <c r="G111" t="s">
        <v>3476</v>
      </c>
    </row>
    <row r="112" spans="1:7" ht="11.25" customHeight="1">
      <c r="A112" t="s">
        <v>16</v>
      </c>
      <c r="B112" t="s">
        <v>3472</v>
      </c>
      <c r="C112" t="s">
        <v>3473</v>
      </c>
      <c r="D112" t="s">
        <v>3472</v>
      </c>
      <c r="E112" t="s">
        <v>3473</v>
      </c>
      <c r="F112" t="s">
        <v>3207</v>
      </c>
      <c r="G112" t="s">
        <v>3477</v>
      </c>
    </row>
    <row r="113" spans="1:7" ht="11.25" customHeight="1">
      <c r="A113" t="s">
        <v>16</v>
      </c>
      <c r="B113" t="s">
        <v>3472</v>
      </c>
      <c r="C113" t="s">
        <v>3473</v>
      </c>
      <c r="D113" t="s">
        <v>3478</v>
      </c>
      <c r="E113" t="s">
        <v>3479</v>
      </c>
      <c r="F113" t="s">
        <v>3206</v>
      </c>
      <c r="G113" t="s">
        <v>3480</v>
      </c>
    </row>
    <row r="114" spans="1:7" ht="11.25" customHeight="1">
      <c r="A114" t="s">
        <v>16</v>
      </c>
      <c r="B114" t="s">
        <v>3472</v>
      </c>
      <c r="C114" t="s">
        <v>3473</v>
      </c>
      <c r="D114" t="s">
        <v>3481</v>
      </c>
      <c r="E114" t="s">
        <v>3482</v>
      </c>
      <c r="F114" t="s">
        <v>3206</v>
      </c>
      <c r="G114" t="s">
        <v>3483</v>
      </c>
    </row>
    <row r="115" spans="1:7" ht="11.25" customHeight="1">
      <c r="A115" t="s">
        <v>16</v>
      </c>
      <c r="B115" t="s">
        <v>3472</v>
      </c>
      <c r="C115" t="s">
        <v>3473</v>
      </c>
      <c r="D115" t="s">
        <v>3484</v>
      </c>
      <c r="E115" t="s">
        <v>3485</v>
      </c>
      <c r="F115" t="s">
        <v>3206</v>
      </c>
      <c r="G115" t="s">
        <v>3486</v>
      </c>
    </row>
    <row r="116" spans="1:7" ht="11.25" customHeight="1">
      <c r="A116" t="s">
        <v>16</v>
      </c>
      <c r="B116" t="s">
        <v>3472</v>
      </c>
      <c r="C116" t="s">
        <v>3473</v>
      </c>
      <c r="D116" t="s">
        <v>3487</v>
      </c>
      <c r="E116" t="s">
        <v>3488</v>
      </c>
      <c r="F116" t="s">
        <v>3206</v>
      </c>
      <c r="G116" t="s">
        <v>3489</v>
      </c>
    </row>
    <row r="117" spans="1:7" ht="11.25" customHeight="1">
      <c r="A117" t="s">
        <v>16</v>
      </c>
      <c r="B117" t="s">
        <v>3472</v>
      </c>
      <c r="C117" t="s">
        <v>3473</v>
      </c>
      <c r="D117" t="s">
        <v>3490</v>
      </c>
      <c r="E117" t="s">
        <v>3491</v>
      </c>
      <c r="F117" t="s">
        <v>3222</v>
      </c>
      <c r="G117" t="s">
        <v>3492</v>
      </c>
    </row>
    <row r="118" spans="1:7" ht="11.25" customHeight="1">
      <c r="A118" t="s">
        <v>16</v>
      </c>
      <c r="B118" t="s">
        <v>3472</v>
      </c>
      <c r="C118" t="s">
        <v>3473</v>
      </c>
      <c r="D118" t="s">
        <v>3493</v>
      </c>
      <c r="E118" t="s">
        <v>3494</v>
      </c>
      <c r="F118" t="s">
        <v>3206</v>
      </c>
      <c r="G118" t="s">
        <v>3495</v>
      </c>
    </row>
    <row r="119" spans="1:7" ht="11.25" customHeight="1">
      <c r="A119" t="s">
        <v>16</v>
      </c>
      <c r="B119" t="s">
        <v>3472</v>
      </c>
      <c r="C119" t="s">
        <v>3473</v>
      </c>
      <c r="D119" t="s">
        <v>3496</v>
      </c>
      <c r="E119" t="s">
        <v>3497</v>
      </c>
      <c r="F119" t="s">
        <v>3206</v>
      </c>
      <c r="G119" t="s">
        <v>3498</v>
      </c>
    </row>
    <row r="120" spans="1:7" ht="11.25" customHeight="1">
      <c r="A120" t="s">
        <v>16</v>
      </c>
      <c r="B120" t="s">
        <v>3472</v>
      </c>
      <c r="C120" t="s">
        <v>3473</v>
      </c>
      <c r="D120" t="s">
        <v>3499</v>
      </c>
      <c r="E120" t="s">
        <v>3500</v>
      </c>
      <c r="F120" t="s">
        <v>3206</v>
      </c>
      <c r="G120" t="s">
        <v>3501</v>
      </c>
    </row>
    <row r="121" spans="1:7" ht="11.25" customHeight="1">
      <c r="A121" t="s">
        <v>16</v>
      </c>
      <c r="B121" t="s">
        <v>3502</v>
      </c>
      <c r="C121" t="s">
        <v>3503</v>
      </c>
      <c r="D121" t="s">
        <v>3504</v>
      </c>
      <c r="E121" t="s">
        <v>3505</v>
      </c>
      <c r="F121" t="s">
        <v>3206</v>
      </c>
      <c r="G121" t="s">
        <v>3506</v>
      </c>
    </row>
    <row r="122" spans="1:7" ht="11.25" customHeight="1">
      <c r="A122" t="s">
        <v>16</v>
      </c>
      <c r="B122" t="s">
        <v>3502</v>
      </c>
      <c r="C122" t="s">
        <v>3503</v>
      </c>
      <c r="D122" t="s">
        <v>3507</v>
      </c>
      <c r="E122" t="s">
        <v>3508</v>
      </c>
      <c r="F122" t="s">
        <v>3206</v>
      </c>
      <c r="G122" t="s">
        <v>3509</v>
      </c>
    </row>
    <row r="123" spans="1:7" ht="11.25" customHeight="1">
      <c r="A123" t="s">
        <v>16</v>
      </c>
      <c r="B123" t="s">
        <v>3502</v>
      </c>
      <c r="C123" t="s">
        <v>3503</v>
      </c>
      <c r="D123" t="s">
        <v>3510</v>
      </c>
      <c r="E123" t="s">
        <v>3511</v>
      </c>
      <c r="F123" t="s">
        <v>3206</v>
      </c>
      <c r="G123" t="s">
        <v>3512</v>
      </c>
    </row>
    <row r="124" spans="1:7" ht="11.25" customHeight="1">
      <c r="A124" t="s">
        <v>16</v>
      </c>
      <c r="B124" t="s">
        <v>3502</v>
      </c>
      <c r="C124" t="s">
        <v>3503</v>
      </c>
      <c r="D124" t="s">
        <v>3502</v>
      </c>
      <c r="E124" t="s">
        <v>3503</v>
      </c>
      <c r="F124" t="s">
        <v>3207</v>
      </c>
      <c r="G124" t="s">
        <v>3513</v>
      </c>
    </row>
    <row r="125" spans="1:7" ht="11.25" customHeight="1">
      <c r="A125" t="s">
        <v>16</v>
      </c>
      <c r="B125" t="s">
        <v>3502</v>
      </c>
      <c r="C125" t="s">
        <v>3503</v>
      </c>
      <c r="D125" t="s">
        <v>3514</v>
      </c>
      <c r="E125" t="s">
        <v>3515</v>
      </c>
      <c r="F125" t="s">
        <v>3206</v>
      </c>
      <c r="G125" t="s">
        <v>3516</v>
      </c>
    </row>
    <row r="126" spans="1:7" ht="11.25" customHeight="1">
      <c r="A126" t="s">
        <v>16</v>
      </c>
      <c r="B126" t="s">
        <v>3502</v>
      </c>
      <c r="C126" t="s">
        <v>3503</v>
      </c>
      <c r="D126" t="s">
        <v>3517</v>
      </c>
      <c r="E126" t="s">
        <v>3518</v>
      </c>
      <c r="F126" t="s">
        <v>3206</v>
      </c>
      <c r="G126" t="s">
        <v>3519</v>
      </c>
    </row>
    <row r="127" spans="1:7" ht="11.25" customHeight="1">
      <c r="A127" t="s">
        <v>16</v>
      </c>
      <c r="B127" t="s">
        <v>3502</v>
      </c>
      <c r="C127" t="s">
        <v>3503</v>
      </c>
      <c r="D127" t="s">
        <v>3520</v>
      </c>
      <c r="E127" t="s">
        <v>3521</v>
      </c>
      <c r="F127" t="s">
        <v>3206</v>
      </c>
      <c r="G127" t="s">
        <v>3522</v>
      </c>
    </row>
    <row r="128" spans="1:7" ht="11.25" customHeight="1">
      <c r="A128" t="s">
        <v>16</v>
      </c>
      <c r="B128" t="s">
        <v>3502</v>
      </c>
      <c r="C128" t="s">
        <v>3503</v>
      </c>
      <c r="D128" t="s">
        <v>3523</v>
      </c>
      <c r="E128" t="s">
        <v>3524</v>
      </c>
      <c r="F128" t="s">
        <v>3206</v>
      </c>
      <c r="G128" t="s">
        <v>3525</v>
      </c>
    </row>
    <row r="129" spans="1:7" ht="11.25" customHeight="1">
      <c r="A129" t="s">
        <v>16</v>
      </c>
      <c r="B129" t="s">
        <v>3502</v>
      </c>
      <c r="C129" t="s">
        <v>3503</v>
      </c>
      <c r="D129" t="s">
        <v>3526</v>
      </c>
      <c r="E129" t="s">
        <v>3527</v>
      </c>
      <c r="F129" t="s">
        <v>3206</v>
      </c>
      <c r="G129" t="s">
        <v>3528</v>
      </c>
    </row>
    <row r="130" spans="1:7" ht="11.25" customHeight="1">
      <c r="A130" t="s">
        <v>16</v>
      </c>
      <c r="B130" t="s">
        <v>3502</v>
      </c>
      <c r="C130" t="s">
        <v>3503</v>
      </c>
      <c r="D130" t="s">
        <v>3529</v>
      </c>
      <c r="E130" t="s">
        <v>3530</v>
      </c>
      <c r="F130" t="s">
        <v>3206</v>
      </c>
      <c r="G130" t="s">
        <v>3531</v>
      </c>
    </row>
    <row r="131" spans="1:7" ht="11.25" customHeight="1">
      <c r="A131" t="s">
        <v>16</v>
      </c>
      <c r="B131" t="s">
        <v>3502</v>
      </c>
      <c r="C131" t="s">
        <v>3503</v>
      </c>
      <c r="D131" t="s">
        <v>3532</v>
      </c>
      <c r="E131" t="s">
        <v>3533</v>
      </c>
      <c r="F131" t="s">
        <v>3206</v>
      </c>
      <c r="G131" t="s">
        <v>3534</v>
      </c>
    </row>
    <row r="132" spans="1:7" ht="11.25" customHeight="1">
      <c r="A132" t="s">
        <v>16</v>
      </c>
      <c r="B132" t="s">
        <v>3502</v>
      </c>
      <c r="C132" t="s">
        <v>3503</v>
      </c>
      <c r="D132" t="s">
        <v>3535</v>
      </c>
      <c r="E132" t="s">
        <v>3536</v>
      </c>
      <c r="F132" t="s">
        <v>3206</v>
      </c>
      <c r="G132" t="s">
        <v>3537</v>
      </c>
    </row>
    <row r="133" spans="1:7" ht="11.25" customHeight="1">
      <c r="A133" t="s">
        <v>16</v>
      </c>
      <c r="B133" t="s">
        <v>3502</v>
      </c>
      <c r="C133" t="s">
        <v>3503</v>
      </c>
      <c r="D133" t="s">
        <v>3538</v>
      </c>
      <c r="E133" t="s">
        <v>3539</v>
      </c>
      <c r="F133" t="s">
        <v>3222</v>
      </c>
      <c r="G133" t="s">
        <v>3540</v>
      </c>
    </row>
    <row r="134" spans="1:7" ht="11.25" customHeight="1">
      <c r="A134" t="s">
        <v>16</v>
      </c>
      <c r="B134" t="s">
        <v>3502</v>
      </c>
      <c r="C134" t="s">
        <v>3503</v>
      </c>
      <c r="D134" t="s">
        <v>3541</v>
      </c>
      <c r="E134" t="s">
        <v>3542</v>
      </c>
      <c r="F134" t="s">
        <v>3222</v>
      </c>
      <c r="G134" t="s">
        <v>3543</v>
      </c>
    </row>
    <row r="135" spans="1:7" ht="11.25" customHeight="1">
      <c r="A135" t="s">
        <v>16</v>
      </c>
      <c r="B135" t="s">
        <v>3544</v>
      </c>
      <c r="C135" t="s">
        <v>3545</v>
      </c>
      <c r="D135" t="s">
        <v>3546</v>
      </c>
      <c r="E135" t="s">
        <v>3547</v>
      </c>
      <c r="F135" t="s">
        <v>3206</v>
      </c>
      <c r="G135" t="s">
        <v>3548</v>
      </c>
    </row>
    <row r="136" spans="1:7" ht="11.25" customHeight="1">
      <c r="A136" t="s">
        <v>16</v>
      </c>
      <c r="B136" t="s">
        <v>3544</v>
      </c>
      <c r="C136" t="s">
        <v>3545</v>
      </c>
      <c r="D136" t="s">
        <v>3549</v>
      </c>
      <c r="E136" t="s">
        <v>3550</v>
      </c>
      <c r="F136" t="s">
        <v>3206</v>
      </c>
      <c r="G136" t="s">
        <v>3551</v>
      </c>
    </row>
    <row r="137" spans="1:7" ht="11.25" customHeight="1">
      <c r="A137" t="s">
        <v>16</v>
      </c>
      <c r="B137" t="s">
        <v>3544</v>
      </c>
      <c r="C137" t="s">
        <v>3545</v>
      </c>
      <c r="D137" t="s">
        <v>3552</v>
      </c>
      <c r="E137" t="s">
        <v>3553</v>
      </c>
      <c r="F137" t="s">
        <v>3206</v>
      </c>
      <c r="G137" t="s">
        <v>3554</v>
      </c>
    </row>
    <row r="138" spans="1:7" ht="11.25" customHeight="1">
      <c r="A138" t="s">
        <v>16</v>
      </c>
      <c r="B138" t="s">
        <v>3544</v>
      </c>
      <c r="C138" t="s">
        <v>3545</v>
      </c>
      <c r="D138" t="s">
        <v>3260</v>
      </c>
      <c r="E138" t="s">
        <v>3555</v>
      </c>
      <c r="F138" t="s">
        <v>3206</v>
      </c>
      <c r="G138" t="s">
        <v>3556</v>
      </c>
    </row>
    <row r="139" spans="1:7" ht="11.25" customHeight="1">
      <c r="A139" t="s">
        <v>16</v>
      </c>
      <c r="B139" t="s">
        <v>3544</v>
      </c>
      <c r="C139" t="s">
        <v>3545</v>
      </c>
      <c r="D139" t="s">
        <v>3557</v>
      </c>
      <c r="E139" t="s">
        <v>3558</v>
      </c>
      <c r="F139" t="s">
        <v>3206</v>
      </c>
      <c r="G139" t="s">
        <v>3559</v>
      </c>
    </row>
    <row r="140" spans="1:7" ht="11.25" customHeight="1">
      <c r="A140" t="s">
        <v>16</v>
      </c>
      <c r="B140" t="s">
        <v>3544</v>
      </c>
      <c r="C140" t="s">
        <v>3545</v>
      </c>
      <c r="D140" t="s">
        <v>3544</v>
      </c>
      <c r="E140" t="s">
        <v>3545</v>
      </c>
      <c r="F140" t="s">
        <v>3207</v>
      </c>
      <c r="G140" t="s">
        <v>3560</v>
      </c>
    </row>
    <row r="141" spans="1:7" ht="11.25" customHeight="1">
      <c r="A141" t="s">
        <v>16</v>
      </c>
      <c r="B141" t="s">
        <v>3544</v>
      </c>
      <c r="C141" t="s">
        <v>3545</v>
      </c>
      <c r="D141" t="s">
        <v>3561</v>
      </c>
      <c r="E141" t="s">
        <v>3562</v>
      </c>
      <c r="F141" t="s">
        <v>3206</v>
      </c>
      <c r="G141" t="s">
        <v>3563</v>
      </c>
    </row>
    <row r="142" spans="1:7" ht="11.25" customHeight="1">
      <c r="A142" t="s">
        <v>16</v>
      </c>
      <c r="B142" t="s">
        <v>3544</v>
      </c>
      <c r="C142" t="s">
        <v>3545</v>
      </c>
      <c r="D142" t="s">
        <v>3564</v>
      </c>
      <c r="E142" t="s">
        <v>3565</v>
      </c>
      <c r="F142" t="s">
        <v>3206</v>
      </c>
      <c r="G142" t="s">
        <v>3566</v>
      </c>
    </row>
    <row r="143" spans="1:7" ht="11.25" customHeight="1">
      <c r="A143" t="s">
        <v>16</v>
      </c>
      <c r="B143" t="s">
        <v>3544</v>
      </c>
      <c r="C143" t="s">
        <v>3545</v>
      </c>
      <c r="D143" t="s">
        <v>3567</v>
      </c>
      <c r="E143" t="s">
        <v>3568</v>
      </c>
      <c r="F143" t="s">
        <v>3206</v>
      </c>
      <c r="G143" t="s">
        <v>3569</v>
      </c>
    </row>
    <row r="144" spans="1:7" ht="11.25" customHeight="1">
      <c r="A144" t="s">
        <v>16</v>
      </c>
      <c r="B144" t="s">
        <v>3544</v>
      </c>
      <c r="C144" t="s">
        <v>3545</v>
      </c>
      <c r="D144" t="s">
        <v>3570</v>
      </c>
      <c r="E144" t="s">
        <v>3571</v>
      </c>
      <c r="F144" t="s">
        <v>3206</v>
      </c>
      <c r="G144" t="s">
        <v>3572</v>
      </c>
    </row>
    <row r="145" spans="1:7" ht="11.25" customHeight="1">
      <c r="A145" t="s">
        <v>16</v>
      </c>
      <c r="B145" t="s">
        <v>3544</v>
      </c>
      <c r="C145" t="s">
        <v>3545</v>
      </c>
      <c r="D145" t="s">
        <v>3573</v>
      </c>
      <c r="E145" t="s">
        <v>3574</v>
      </c>
      <c r="F145" t="s">
        <v>3206</v>
      </c>
      <c r="G145" t="s">
        <v>3575</v>
      </c>
    </row>
    <row r="146" spans="1:7" ht="11.25" customHeight="1">
      <c r="A146" t="s">
        <v>16</v>
      </c>
      <c r="B146" t="s">
        <v>3544</v>
      </c>
      <c r="C146" t="s">
        <v>3545</v>
      </c>
      <c r="D146" t="s">
        <v>3576</v>
      </c>
      <c r="E146" t="s">
        <v>3577</v>
      </c>
      <c r="F146" t="s">
        <v>3206</v>
      </c>
      <c r="G146" t="s">
        <v>3578</v>
      </c>
    </row>
    <row r="147" spans="1:7" ht="11.25" customHeight="1">
      <c r="A147" t="s">
        <v>16</v>
      </c>
      <c r="B147" t="s">
        <v>3579</v>
      </c>
      <c r="C147" t="s">
        <v>3580</v>
      </c>
      <c r="D147" t="s">
        <v>3581</v>
      </c>
      <c r="E147" t="s">
        <v>3582</v>
      </c>
      <c r="F147" t="s">
        <v>3206</v>
      </c>
      <c r="G147" t="s">
        <v>3583</v>
      </c>
    </row>
    <row r="148" spans="1:7" ht="11.25" customHeight="1">
      <c r="A148" t="s">
        <v>16</v>
      </c>
      <c r="B148" t="s">
        <v>3579</v>
      </c>
      <c r="C148" t="s">
        <v>3580</v>
      </c>
      <c r="D148" t="s">
        <v>3584</v>
      </c>
      <c r="E148" t="s">
        <v>3585</v>
      </c>
      <c r="F148" t="s">
        <v>3206</v>
      </c>
      <c r="G148" t="s">
        <v>3586</v>
      </c>
    </row>
    <row r="149" spans="1:7" ht="11.25" customHeight="1">
      <c r="A149" t="s">
        <v>16</v>
      </c>
      <c r="B149" t="s">
        <v>3579</v>
      </c>
      <c r="C149" t="s">
        <v>3580</v>
      </c>
      <c r="D149" t="s">
        <v>3587</v>
      </c>
      <c r="E149" t="s">
        <v>3588</v>
      </c>
      <c r="F149" t="s">
        <v>3206</v>
      </c>
      <c r="G149" t="s">
        <v>3589</v>
      </c>
    </row>
    <row r="150" spans="1:7" ht="11.25" customHeight="1">
      <c r="A150" t="s">
        <v>16</v>
      </c>
      <c r="B150" t="s">
        <v>3579</v>
      </c>
      <c r="C150" t="s">
        <v>3580</v>
      </c>
      <c r="D150" t="s">
        <v>3590</v>
      </c>
      <c r="E150" t="s">
        <v>3591</v>
      </c>
      <c r="F150" t="s">
        <v>3206</v>
      </c>
      <c r="G150" t="s">
        <v>3592</v>
      </c>
    </row>
    <row r="151" spans="1:7" ht="11.25" customHeight="1">
      <c r="A151" t="s">
        <v>16</v>
      </c>
      <c r="B151" t="s">
        <v>3579</v>
      </c>
      <c r="C151" t="s">
        <v>3580</v>
      </c>
      <c r="D151" t="s">
        <v>3593</v>
      </c>
      <c r="E151" t="s">
        <v>3594</v>
      </c>
      <c r="F151" t="s">
        <v>3206</v>
      </c>
      <c r="G151" t="s">
        <v>3595</v>
      </c>
    </row>
    <row r="152" spans="1:7" ht="11.25" customHeight="1">
      <c r="A152" t="s">
        <v>16</v>
      </c>
      <c r="B152" t="s">
        <v>3579</v>
      </c>
      <c r="C152" t="s">
        <v>3580</v>
      </c>
      <c r="D152" t="s">
        <v>3579</v>
      </c>
      <c r="E152" t="s">
        <v>3580</v>
      </c>
      <c r="F152" t="s">
        <v>3207</v>
      </c>
      <c r="G152" t="s">
        <v>3596</v>
      </c>
    </row>
    <row r="153" spans="1:7" ht="11.25" customHeight="1">
      <c r="A153" t="s">
        <v>16</v>
      </c>
      <c r="B153" t="s">
        <v>3579</v>
      </c>
      <c r="C153" t="s">
        <v>3580</v>
      </c>
      <c r="D153" t="s">
        <v>3597</v>
      </c>
      <c r="E153" t="s">
        <v>3598</v>
      </c>
      <c r="F153" t="s">
        <v>3206</v>
      </c>
      <c r="G153" t="s">
        <v>3599</v>
      </c>
    </row>
    <row r="154" spans="1:7" ht="11.25" customHeight="1">
      <c r="A154" t="s">
        <v>16</v>
      </c>
      <c r="B154" t="s">
        <v>3579</v>
      </c>
      <c r="C154" t="s">
        <v>3580</v>
      </c>
      <c r="D154" t="s">
        <v>3600</v>
      </c>
      <c r="E154" t="s">
        <v>3601</v>
      </c>
      <c r="F154" t="s">
        <v>3222</v>
      </c>
      <c r="G154" t="s">
        <v>3602</v>
      </c>
    </row>
    <row r="155" spans="1:7" ht="11.25" customHeight="1">
      <c r="A155" t="s">
        <v>16</v>
      </c>
      <c r="B155" t="s">
        <v>3579</v>
      </c>
      <c r="C155" t="s">
        <v>3580</v>
      </c>
      <c r="D155" t="s">
        <v>3603</v>
      </c>
      <c r="E155" t="s">
        <v>3604</v>
      </c>
      <c r="F155" t="s">
        <v>3206</v>
      </c>
      <c r="G155" t="s">
        <v>3605</v>
      </c>
    </row>
    <row r="156" spans="1:7" ht="11.25" customHeight="1">
      <c r="A156" t="s">
        <v>16</v>
      </c>
      <c r="B156" t="s">
        <v>3579</v>
      </c>
      <c r="C156" t="s">
        <v>3580</v>
      </c>
      <c r="D156" t="s">
        <v>3291</v>
      </c>
      <c r="E156" t="s">
        <v>3606</v>
      </c>
      <c r="F156" t="s">
        <v>3206</v>
      </c>
      <c r="G156" t="s">
        <v>3607</v>
      </c>
    </row>
    <row r="157" spans="1:7" ht="11.25" customHeight="1">
      <c r="A157" t="s">
        <v>16</v>
      </c>
      <c r="B157" t="s">
        <v>3579</v>
      </c>
      <c r="C157" t="s">
        <v>3580</v>
      </c>
      <c r="D157" t="s">
        <v>3608</v>
      </c>
      <c r="E157" t="s">
        <v>3609</v>
      </c>
      <c r="F157" t="s">
        <v>3206</v>
      </c>
      <c r="G157" t="s">
        <v>3610</v>
      </c>
    </row>
    <row r="158" spans="1:7" ht="11.25" customHeight="1">
      <c r="A158" t="s">
        <v>16</v>
      </c>
      <c r="B158" t="s">
        <v>3611</v>
      </c>
      <c r="C158" t="s">
        <v>3612</v>
      </c>
      <c r="D158" t="s">
        <v>3613</v>
      </c>
      <c r="E158" t="s">
        <v>3614</v>
      </c>
      <c r="F158" t="s">
        <v>3206</v>
      </c>
      <c r="G158" t="s">
        <v>3615</v>
      </c>
    </row>
    <row r="159" spans="1:7" ht="11.25" customHeight="1">
      <c r="A159" t="s">
        <v>16</v>
      </c>
      <c r="B159" t="s">
        <v>3611</v>
      </c>
      <c r="C159" t="s">
        <v>3612</v>
      </c>
      <c r="D159" t="s">
        <v>3616</v>
      </c>
      <c r="E159" t="s">
        <v>3617</v>
      </c>
      <c r="F159" t="s">
        <v>3206</v>
      </c>
      <c r="G159" t="s">
        <v>3618</v>
      </c>
    </row>
    <row r="160" spans="1:7" ht="11.25" customHeight="1">
      <c r="A160" t="s">
        <v>16</v>
      </c>
      <c r="B160" t="s">
        <v>3611</v>
      </c>
      <c r="C160" t="s">
        <v>3612</v>
      </c>
      <c r="D160" t="s">
        <v>3216</v>
      </c>
      <c r="E160" t="s">
        <v>3619</v>
      </c>
      <c r="F160" t="s">
        <v>3206</v>
      </c>
      <c r="G160" t="s">
        <v>3620</v>
      </c>
    </row>
    <row r="161" spans="1:7" ht="11.25" customHeight="1">
      <c r="A161" t="s">
        <v>16</v>
      </c>
      <c r="B161" t="s">
        <v>3611</v>
      </c>
      <c r="C161" t="s">
        <v>3612</v>
      </c>
      <c r="D161" t="s">
        <v>3621</v>
      </c>
      <c r="E161" t="s">
        <v>3622</v>
      </c>
      <c r="F161" t="s">
        <v>3206</v>
      </c>
      <c r="G161" t="s">
        <v>3623</v>
      </c>
    </row>
    <row r="162" spans="1:7" ht="11.25" customHeight="1">
      <c r="A162" t="s">
        <v>16</v>
      </c>
      <c r="B162" t="s">
        <v>3611</v>
      </c>
      <c r="C162" t="s">
        <v>3612</v>
      </c>
      <c r="D162" t="s">
        <v>3611</v>
      </c>
      <c r="E162" t="s">
        <v>3612</v>
      </c>
      <c r="F162" t="s">
        <v>3207</v>
      </c>
      <c r="G162" t="s">
        <v>3624</v>
      </c>
    </row>
    <row r="163" spans="1:7" ht="11.25" customHeight="1">
      <c r="A163" t="s">
        <v>16</v>
      </c>
      <c r="B163" t="s">
        <v>3611</v>
      </c>
      <c r="C163" t="s">
        <v>3612</v>
      </c>
      <c r="D163" t="s">
        <v>3625</v>
      </c>
      <c r="E163" t="s">
        <v>3626</v>
      </c>
      <c r="F163" t="s">
        <v>3206</v>
      </c>
      <c r="G163" t="s">
        <v>3627</v>
      </c>
    </row>
    <row r="164" spans="1:7" ht="11.25" customHeight="1">
      <c r="A164" t="s">
        <v>16</v>
      </c>
      <c r="B164" t="s">
        <v>3611</v>
      </c>
      <c r="C164" t="s">
        <v>3612</v>
      </c>
      <c r="D164" t="s">
        <v>3628</v>
      </c>
      <c r="E164" t="s">
        <v>3629</v>
      </c>
      <c r="F164" t="s">
        <v>3206</v>
      </c>
      <c r="G164" t="s">
        <v>3630</v>
      </c>
    </row>
    <row r="165" spans="1:7" ht="11.25" customHeight="1">
      <c r="A165" t="s">
        <v>16</v>
      </c>
      <c r="B165" t="s">
        <v>3631</v>
      </c>
      <c r="C165" t="s">
        <v>3632</v>
      </c>
      <c r="D165" t="s">
        <v>3633</v>
      </c>
      <c r="E165" t="s">
        <v>3634</v>
      </c>
      <c r="F165" t="s">
        <v>3206</v>
      </c>
      <c r="G165" t="s">
        <v>3635</v>
      </c>
    </row>
    <row r="166" spans="1:7" ht="11.25" customHeight="1">
      <c r="A166" t="s">
        <v>16</v>
      </c>
      <c r="B166" t="s">
        <v>3631</v>
      </c>
      <c r="C166" t="s">
        <v>3632</v>
      </c>
      <c r="D166" t="s">
        <v>3636</v>
      </c>
      <c r="E166" t="s">
        <v>3637</v>
      </c>
      <c r="F166" t="s">
        <v>3206</v>
      </c>
      <c r="G166" t="s">
        <v>3638</v>
      </c>
    </row>
    <row r="167" spans="1:7" ht="11.25" customHeight="1">
      <c r="A167" t="s">
        <v>16</v>
      </c>
      <c r="B167" t="s">
        <v>3631</v>
      </c>
      <c r="C167" t="s">
        <v>3632</v>
      </c>
      <c r="D167" t="s">
        <v>101</v>
      </c>
      <c r="E167" t="s">
        <v>3639</v>
      </c>
      <c r="F167" t="s">
        <v>3206</v>
      </c>
      <c r="G167" t="s">
        <v>3640</v>
      </c>
    </row>
    <row r="168" spans="1:7" ht="11.25" customHeight="1">
      <c r="A168" t="s">
        <v>16</v>
      </c>
      <c r="B168" t="s">
        <v>3631</v>
      </c>
      <c r="C168" t="s">
        <v>3632</v>
      </c>
      <c r="D168" t="s">
        <v>3631</v>
      </c>
      <c r="E168" t="s">
        <v>3632</v>
      </c>
      <c r="F168" t="s">
        <v>3207</v>
      </c>
      <c r="G168" t="s">
        <v>3641</v>
      </c>
    </row>
    <row r="169" spans="1:7" ht="11.25" customHeight="1">
      <c r="A169" t="s">
        <v>16</v>
      </c>
      <c r="B169" t="s">
        <v>3631</v>
      </c>
      <c r="C169" t="s">
        <v>3632</v>
      </c>
      <c r="D169" t="s">
        <v>3642</v>
      </c>
      <c r="E169" t="s">
        <v>3643</v>
      </c>
      <c r="F169" t="s">
        <v>3206</v>
      </c>
      <c r="G169" t="s">
        <v>3644</v>
      </c>
    </row>
    <row r="170" spans="1:7" ht="11.25" customHeight="1">
      <c r="A170" t="s">
        <v>16</v>
      </c>
      <c r="B170" t="s">
        <v>3631</v>
      </c>
      <c r="C170" t="s">
        <v>3632</v>
      </c>
      <c r="D170" t="s">
        <v>3645</v>
      </c>
      <c r="E170" t="s">
        <v>3646</v>
      </c>
      <c r="F170" t="s">
        <v>3206</v>
      </c>
      <c r="G170" t="s">
        <v>3647</v>
      </c>
    </row>
    <row r="171" spans="1:7" ht="11.25" customHeight="1">
      <c r="A171" t="s">
        <v>16</v>
      </c>
      <c r="B171" t="s">
        <v>3631</v>
      </c>
      <c r="C171" t="s">
        <v>3632</v>
      </c>
      <c r="D171" t="s">
        <v>3648</v>
      </c>
      <c r="E171" t="s">
        <v>3649</v>
      </c>
      <c r="F171" t="s">
        <v>3222</v>
      </c>
      <c r="G171" t="s">
        <v>3650</v>
      </c>
    </row>
    <row r="172" spans="1:7" ht="11.25" customHeight="1">
      <c r="A172" t="s">
        <v>16</v>
      </c>
      <c r="B172" t="s">
        <v>3631</v>
      </c>
      <c r="C172" t="s">
        <v>3632</v>
      </c>
      <c r="D172" t="s">
        <v>3651</v>
      </c>
      <c r="E172" t="s">
        <v>3652</v>
      </c>
      <c r="F172" t="s">
        <v>3206</v>
      </c>
      <c r="G172" t="s">
        <v>3653</v>
      </c>
    </row>
    <row r="173" spans="1:7" ht="11.25" customHeight="1">
      <c r="A173" t="s">
        <v>16</v>
      </c>
      <c r="B173" t="s">
        <v>3631</v>
      </c>
      <c r="C173" t="s">
        <v>3632</v>
      </c>
      <c r="D173" t="s">
        <v>3654</v>
      </c>
      <c r="E173" t="s">
        <v>3655</v>
      </c>
      <c r="F173" t="s">
        <v>3206</v>
      </c>
      <c r="G173" t="s">
        <v>3656</v>
      </c>
    </row>
    <row r="174" spans="1:7" ht="11.25" customHeight="1">
      <c r="A174" t="s">
        <v>16</v>
      </c>
      <c r="B174" t="s">
        <v>3631</v>
      </c>
      <c r="C174" t="s">
        <v>3632</v>
      </c>
      <c r="D174" t="s">
        <v>3657</v>
      </c>
      <c r="E174" t="s">
        <v>3658</v>
      </c>
      <c r="F174" t="s">
        <v>3206</v>
      </c>
      <c r="G174" t="s">
        <v>3659</v>
      </c>
    </row>
    <row r="175" spans="1:7" ht="11.25" customHeight="1">
      <c r="A175" t="s">
        <v>16</v>
      </c>
      <c r="B175" t="s">
        <v>3631</v>
      </c>
      <c r="C175" t="s">
        <v>3632</v>
      </c>
      <c r="D175" t="s">
        <v>3660</v>
      </c>
      <c r="E175" t="s">
        <v>3661</v>
      </c>
      <c r="F175" t="s">
        <v>3206</v>
      </c>
      <c r="G175" t="s">
        <v>3662</v>
      </c>
    </row>
    <row r="176" spans="1:7" ht="11.25" customHeight="1">
      <c r="A176" t="s">
        <v>16</v>
      </c>
      <c r="B176" t="s">
        <v>3631</v>
      </c>
      <c r="C176" t="s">
        <v>3632</v>
      </c>
      <c r="D176" t="s">
        <v>3663</v>
      </c>
      <c r="E176" t="s">
        <v>3664</v>
      </c>
      <c r="F176" t="s">
        <v>3206</v>
      </c>
      <c r="G176" t="s">
        <v>3665</v>
      </c>
    </row>
    <row r="177" spans="1:7" ht="11.25" customHeight="1">
      <c r="A177" t="s">
        <v>16</v>
      </c>
      <c r="B177" t="s">
        <v>3631</v>
      </c>
      <c r="C177" t="s">
        <v>3632</v>
      </c>
      <c r="D177" t="s">
        <v>3666</v>
      </c>
      <c r="E177" t="s">
        <v>3667</v>
      </c>
      <c r="F177" t="s">
        <v>3206</v>
      </c>
      <c r="G177" t="s">
        <v>3668</v>
      </c>
    </row>
    <row r="178" spans="1:7" ht="11.25" customHeight="1">
      <c r="A178" t="s">
        <v>16</v>
      </c>
      <c r="B178" t="s">
        <v>3631</v>
      </c>
      <c r="C178" t="s">
        <v>3632</v>
      </c>
      <c r="D178" t="s">
        <v>3669</v>
      </c>
      <c r="E178" t="s">
        <v>3670</v>
      </c>
      <c r="F178" t="s">
        <v>3206</v>
      </c>
      <c r="G178" t="s">
        <v>3671</v>
      </c>
    </row>
    <row r="179" spans="1:7" ht="11.25" customHeight="1">
      <c r="A179" t="s">
        <v>16</v>
      </c>
      <c r="B179" t="s">
        <v>3672</v>
      </c>
      <c r="C179" t="s">
        <v>3673</v>
      </c>
      <c r="D179" t="s">
        <v>3674</v>
      </c>
      <c r="E179" t="s">
        <v>3675</v>
      </c>
      <c r="F179" t="s">
        <v>3206</v>
      </c>
      <c r="G179" t="s">
        <v>3676</v>
      </c>
    </row>
    <row r="180" spans="1:7" ht="11.25" customHeight="1">
      <c r="A180" t="s">
        <v>16</v>
      </c>
      <c r="B180" t="s">
        <v>3672</v>
      </c>
      <c r="C180" t="s">
        <v>3673</v>
      </c>
      <c r="D180" t="s">
        <v>3677</v>
      </c>
      <c r="E180" t="s">
        <v>3678</v>
      </c>
      <c r="F180" t="s">
        <v>3206</v>
      </c>
      <c r="G180" t="s">
        <v>3679</v>
      </c>
    </row>
    <row r="181" spans="1:7" ht="11.25" customHeight="1">
      <c r="A181" t="s">
        <v>16</v>
      </c>
      <c r="B181" t="s">
        <v>3672</v>
      </c>
      <c r="C181" t="s">
        <v>3673</v>
      </c>
      <c r="D181" t="s">
        <v>3680</v>
      </c>
      <c r="E181" t="s">
        <v>3681</v>
      </c>
      <c r="F181" t="s">
        <v>3206</v>
      </c>
      <c r="G181" t="s">
        <v>3682</v>
      </c>
    </row>
    <row r="182" spans="1:7" ht="11.25" customHeight="1">
      <c r="A182" t="s">
        <v>16</v>
      </c>
      <c r="B182" t="s">
        <v>3672</v>
      </c>
      <c r="C182" t="s">
        <v>3673</v>
      </c>
      <c r="D182" t="s">
        <v>3683</v>
      </c>
      <c r="E182" t="s">
        <v>3684</v>
      </c>
      <c r="F182" t="s">
        <v>3206</v>
      </c>
      <c r="G182" t="s">
        <v>3685</v>
      </c>
    </row>
    <row r="183" spans="1:7" ht="11.25" customHeight="1">
      <c r="A183" t="s">
        <v>16</v>
      </c>
      <c r="B183" t="s">
        <v>3672</v>
      </c>
      <c r="C183" t="s">
        <v>3673</v>
      </c>
      <c r="D183" t="s">
        <v>3686</v>
      </c>
      <c r="E183" t="s">
        <v>3687</v>
      </c>
      <c r="F183" t="s">
        <v>3206</v>
      </c>
      <c r="G183" t="s">
        <v>3688</v>
      </c>
    </row>
    <row r="184" spans="1:7" ht="11.25" customHeight="1">
      <c r="A184" t="s">
        <v>16</v>
      </c>
      <c r="B184" t="s">
        <v>3672</v>
      </c>
      <c r="C184" t="s">
        <v>3673</v>
      </c>
      <c r="D184" t="s">
        <v>3689</v>
      </c>
      <c r="E184" t="s">
        <v>3690</v>
      </c>
      <c r="F184" t="s">
        <v>3206</v>
      </c>
      <c r="G184" t="s">
        <v>3691</v>
      </c>
    </row>
    <row r="185" spans="1:7" ht="11.25" customHeight="1">
      <c r="A185" t="s">
        <v>16</v>
      </c>
      <c r="B185" t="s">
        <v>3672</v>
      </c>
      <c r="C185" t="s">
        <v>3673</v>
      </c>
      <c r="D185" t="s">
        <v>3672</v>
      </c>
      <c r="E185" t="s">
        <v>3673</v>
      </c>
      <c r="F185" t="s">
        <v>3207</v>
      </c>
      <c r="G185" t="s">
        <v>3692</v>
      </c>
    </row>
    <row r="186" spans="1:7" ht="11.25" customHeight="1">
      <c r="A186" t="s">
        <v>16</v>
      </c>
      <c r="B186" t="s">
        <v>3672</v>
      </c>
      <c r="C186" t="s">
        <v>3673</v>
      </c>
      <c r="D186" t="s">
        <v>3693</v>
      </c>
      <c r="E186" t="s">
        <v>3694</v>
      </c>
      <c r="F186" t="s">
        <v>3206</v>
      </c>
      <c r="G186" t="s">
        <v>3695</v>
      </c>
    </row>
    <row r="187" spans="1:7" ht="11.25" customHeight="1">
      <c r="A187" t="s">
        <v>16</v>
      </c>
      <c r="B187" t="s">
        <v>3672</v>
      </c>
      <c r="C187" t="s">
        <v>3673</v>
      </c>
      <c r="D187" t="s">
        <v>3696</v>
      </c>
      <c r="E187" t="s">
        <v>3697</v>
      </c>
      <c r="F187" t="s">
        <v>3206</v>
      </c>
      <c r="G187" t="s">
        <v>3698</v>
      </c>
    </row>
    <row r="188" spans="1:7" ht="11.25" customHeight="1">
      <c r="A188" t="s">
        <v>16</v>
      </c>
      <c r="B188" t="s">
        <v>3672</v>
      </c>
      <c r="C188" t="s">
        <v>3673</v>
      </c>
      <c r="D188" t="s">
        <v>3699</v>
      </c>
      <c r="E188" t="s">
        <v>3700</v>
      </c>
      <c r="F188" t="s">
        <v>3206</v>
      </c>
      <c r="G188" t="s">
        <v>3701</v>
      </c>
    </row>
    <row r="189" spans="1:7" ht="11.25" customHeight="1">
      <c r="A189" t="s">
        <v>16</v>
      </c>
      <c r="B189" t="s">
        <v>3672</v>
      </c>
      <c r="C189" t="s">
        <v>3673</v>
      </c>
      <c r="D189" t="s">
        <v>3702</v>
      </c>
      <c r="E189" t="s">
        <v>3703</v>
      </c>
      <c r="F189" t="s">
        <v>3206</v>
      </c>
      <c r="G189" t="s">
        <v>3704</v>
      </c>
    </row>
    <row r="190" spans="1:7" ht="11.25" customHeight="1">
      <c r="A190" t="s">
        <v>16</v>
      </c>
      <c r="B190" t="s">
        <v>3672</v>
      </c>
      <c r="C190" t="s">
        <v>3673</v>
      </c>
      <c r="D190" t="s">
        <v>3705</v>
      </c>
      <c r="E190" t="s">
        <v>3706</v>
      </c>
      <c r="F190" t="s">
        <v>3206</v>
      </c>
      <c r="G190" t="s">
        <v>3707</v>
      </c>
    </row>
    <row r="191" spans="1:7" ht="11.25" customHeight="1">
      <c r="A191" t="s">
        <v>16</v>
      </c>
      <c r="B191" t="s">
        <v>3672</v>
      </c>
      <c r="C191" t="s">
        <v>3673</v>
      </c>
      <c r="D191" t="s">
        <v>3708</v>
      </c>
      <c r="E191" t="s">
        <v>3709</v>
      </c>
      <c r="F191" t="s">
        <v>3206</v>
      </c>
      <c r="G191" t="s">
        <v>3710</v>
      </c>
    </row>
    <row r="192" spans="1:7" ht="11.25" customHeight="1">
      <c r="A192" t="s">
        <v>16</v>
      </c>
      <c r="B192" t="s">
        <v>3672</v>
      </c>
      <c r="C192" t="s">
        <v>3673</v>
      </c>
      <c r="D192" t="s">
        <v>3711</v>
      </c>
      <c r="E192" t="s">
        <v>3712</v>
      </c>
      <c r="F192" t="s">
        <v>3206</v>
      </c>
      <c r="G192" t="s">
        <v>3713</v>
      </c>
    </row>
    <row r="193" spans="1:7" ht="11.25" customHeight="1">
      <c r="A193" t="s">
        <v>16</v>
      </c>
      <c r="B193" t="s">
        <v>3714</v>
      </c>
      <c r="C193" t="s">
        <v>3715</v>
      </c>
      <c r="D193" t="s">
        <v>3716</v>
      </c>
      <c r="E193" t="s">
        <v>3717</v>
      </c>
      <c r="F193" t="s">
        <v>3206</v>
      </c>
      <c r="G193" t="s">
        <v>3718</v>
      </c>
    </row>
    <row r="194" spans="1:7" ht="11.25" customHeight="1">
      <c r="A194" t="s">
        <v>16</v>
      </c>
      <c r="B194" t="s">
        <v>3714</v>
      </c>
      <c r="C194" t="s">
        <v>3715</v>
      </c>
      <c r="D194" t="s">
        <v>3474</v>
      </c>
      <c r="E194" t="s">
        <v>3719</v>
      </c>
      <c r="F194" t="s">
        <v>3206</v>
      </c>
      <c r="G194" t="s">
        <v>3720</v>
      </c>
    </row>
    <row r="195" spans="1:7" ht="11.25" customHeight="1">
      <c r="A195" t="s">
        <v>16</v>
      </c>
      <c r="B195" t="s">
        <v>3714</v>
      </c>
      <c r="C195" t="s">
        <v>3715</v>
      </c>
      <c r="D195" t="s">
        <v>3721</v>
      </c>
      <c r="E195" t="s">
        <v>3722</v>
      </c>
      <c r="F195" t="s">
        <v>3206</v>
      </c>
      <c r="G195" t="s">
        <v>3723</v>
      </c>
    </row>
    <row r="196" spans="1:7" ht="11.25" customHeight="1">
      <c r="A196" t="s">
        <v>16</v>
      </c>
      <c r="B196" t="s">
        <v>3714</v>
      </c>
      <c r="C196" t="s">
        <v>3715</v>
      </c>
      <c r="D196" t="s">
        <v>3724</v>
      </c>
      <c r="E196" t="s">
        <v>3725</v>
      </c>
      <c r="F196" t="s">
        <v>3206</v>
      </c>
      <c r="G196" t="s">
        <v>3726</v>
      </c>
    </row>
    <row r="197" spans="1:7" ht="11.25" customHeight="1">
      <c r="A197" t="s">
        <v>16</v>
      </c>
      <c r="B197" t="s">
        <v>3714</v>
      </c>
      <c r="C197" t="s">
        <v>3715</v>
      </c>
      <c r="D197" t="s">
        <v>3727</v>
      </c>
      <c r="E197" t="s">
        <v>3728</v>
      </c>
      <c r="F197" t="s">
        <v>3206</v>
      </c>
      <c r="G197" t="s">
        <v>3729</v>
      </c>
    </row>
    <row r="198" spans="1:7" ht="11.25" customHeight="1">
      <c r="A198" t="s">
        <v>16</v>
      </c>
      <c r="B198" t="s">
        <v>3714</v>
      </c>
      <c r="C198" t="s">
        <v>3715</v>
      </c>
      <c r="D198" t="s">
        <v>3730</v>
      </c>
      <c r="E198" t="s">
        <v>3731</v>
      </c>
      <c r="F198" t="s">
        <v>3206</v>
      </c>
      <c r="G198" t="s">
        <v>3732</v>
      </c>
    </row>
    <row r="199" spans="1:7" ht="11.25" customHeight="1">
      <c r="A199" t="s">
        <v>16</v>
      </c>
      <c r="B199" t="s">
        <v>3714</v>
      </c>
      <c r="C199" t="s">
        <v>3715</v>
      </c>
      <c r="D199" t="s">
        <v>3733</v>
      </c>
      <c r="E199" t="s">
        <v>3734</v>
      </c>
      <c r="F199" t="s">
        <v>3206</v>
      </c>
      <c r="G199" t="s">
        <v>3735</v>
      </c>
    </row>
    <row r="200" spans="1:7" ht="11.25" customHeight="1">
      <c r="A200" t="s">
        <v>16</v>
      </c>
      <c r="B200" t="s">
        <v>3714</v>
      </c>
      <c r="C200" t="s">
        <v>3715</v>
      </c>
      <c r="D200" t="s">
        <v>3736</v>
      </c>
      <c r="E200" t="s">
        <v>3737</v>
      </c>
      <c r="F200" t="s">
        <v>3206</v>
      </c>
      <c r="G200" t="s">
        <v>3738</v>
      </c>
    </row>
    <row r="201" spans="1:7" ht="11.25" customHeight="1">
      <c r="A201" t="s">
        <v>16</v>
      </c>
      <c r="B201" t="s">
        <v>3714</v>
      </c>
      <c r="C201" t="s">
        <v>3715</v>
      </c>
      <c r="D201" t="s">
        <v>3739</v>
      </c>
      <c r="E201" t="s">
        <v>3740</v>
      </c>
      <c r="F201" t="s">
        <v>3206</v>
      </c>
      <c r="G201" t="s">
        <v>3741</v>
      </c>
    </row>
    <row r="202" spans="1:7" ht="11.25" customHeight="1">
      <c r="A202" t="s">
        <v>16</v>
      </c>
      <c r="B202" t="s">
        <v>3714</v>
      </c>
      <c r="C202" t="s">
        <v>3715</v>
      </c>
      <c r="D202" t="s">
        <v>3742</v>
      </c>
      <c r="E202" t="s">
        <v>3743</v>
      </c>
      <c r="F202" t="s">
        <v>3206</v>
      </c>
      <c r="G202" t="s">
        <v>3744</v>
      </c>
    </row>
    <row r="203" spans="1:7" ht="11.25" customHeight="1">
      <c r="A203" t="s">
        <v>16</v>
      </c>
      <c r="B203" t="s">
        <v>3714</v>
      </c>
      <c r="C203" t="s">
        <v>3715</v>
      </c>
      <c r="D203" t="s">
        <v>3714</v>
      </c>
      <c r="E203" t="s">
        <v>3715</v>
      </c>
      <c r="F203" t="s">
        <v>3207</v>
      </c>
      <c r="G203" t="s">
        <v>3745</v>
      </c>
    </row>
    <row r="204" spans="1:7" ht="11.25" customHeight="1">
      <c r="A204" t="s">
        <v>16</v>
      </c>
      <c r="B204" t="s">
        <v>3714</v>
      </c>
      <c r="C204" t="s">
        <v>3715</v>
      </c>
      <c r="D204" t="s">
        <v>3746</v>
      </c>
      <c r="E204" t="s">
        <v>3747</v>
      </c>
      <c r="F204" t="s">
        <v>3206</v>
      </c>
      <c r="G204" t="s">
        <v>3748</v>
      </c>
    </row>
    <row r="205" spans="1:7" ht="11.25" customHeight="1">
      <c r="A205" t="s">
        <v>16</v>
      </c>
      <c r="B205" t="s">
        <v>3714</v>
      </c>
      <c r="C205" t="s">
        <v>3715</v>
      </c>
      <c r="D205" t="s">
        <v>3749</v>
      </c>
      <c r="E205" t="s">
        <v>3750</v>
      </c>
      <c r="F205" t="s">
        <v>3206</v>
      </c>
      <c r="G205" t="s">
        <v>3751</v>
      </c>
    </row>
    <row r="206" spans="1:7" ht="11.25" customHeight="1">
      <c r="A206" t="s">
        <v>16</v>
      </c>
      <c r="B206" t="s">
        <v>3714</v>
      </c>
      <c r="C206" t="s">
        <v>3715</v>
      </c>
      <c r="D206" t="s">
        <v>3752</v>
      </c>
      <c r="E206" t="s">
        <v>3753</v>
      </c>
      <c r="F206" t="s">
        <v>3206</v>
      </c>
      <c r="G206" t="s">
        <v>3754</v>
      </c>
    </row>
    <row r="207" spans="1:7" ht="11.25" customHeight="1">
      <c r="A207" t="s">
        <v>16</v>
      </c>
      <c r="B207" t="s">
        <v>3714</v>
      </c>
      <c r="C207" t="s">
        <v>3715</v>
      </c>
      <c r="D207" t="s">
        <v>3755</v>
      </c>
      <c r="E207" t="s">
        <v>3756</v>
      </c>
      <c r="F207" t="s">
        <v>3206</v>
      </c>
      <c r="G207" t="s">
        <v>3757</v>
      </c>
    </row>
    <row r="208" spans="1:7" ht="11.25" customHeight="1">
      <c r="A208" t="s">
        <v>16</v>
      </c>
      <c r="B208" t="s">
        <v>3714</v>
      </c>
      <c r="C208" t="s">
        <v>3715</v>
      </c>
      <c r="D208" t="s">
        <v>3758</v>
      </c>
      <c r="E208" t="s">
        <v>3759</v>
      </c>
      <c r="F208" t="s">
        <v>3206</v>
      </c>
      <c r="G208" t="s">
        <v>3760</v>
      </c>
    </row>
    <row r="209" spans="1:7" ht="11.25" customHeight="1">
      <c r="A209" t="s">
        <v>16</v>
      </c>
      <c r="B209" t="s">
        <v>3761</v>
      </c>
      <c r="C209" t="s">
        <v>3762</v>
      </c>
      <c r="D209" t="s">
        <v>3763</v>
      </c>
      <c r="E209" t="s">
        <v>3764</v>
      </c>
      <c r="F209" t="s">
        <v>3206</v>
      </c>
      <c r="G209" t="s">
        <v>3765</v>
      </c>
    </row>
    <row r="210" spans="1:7" ht="11.25" customHeight="1">
      <c r="A210" t="s">
        <v>16</v>
      </c>
      <c r="B210" t="s">
        <v>3761</v>
      </c>
      <c r="C210" t="s">
        <v>3762</v>
      </c>
      <c r="D210" t="s">
        <v>3766</v>
      </c>
      <c r="E210" t="s">
        <v>3767</v>
      </c>
      <c r="F210" t="s">
        <v>3206</v>
      </c>
      <c r="G210" t="s">
        <v>3768</v>
      </c>
    </row>
    <row r="211" spans="1:7" ht="11.25" customHeight="1">
      <c r="A211" t="s">
        <v>16</v>
      </c>
      <c r="B211" t="s">
        <v>3761</v>
      </c>
      <c r="C211" t="s">
        <v>3762</v>
      </c>
      <c r="D211" t="s">
        <v>3769</v>
      </c>
      <c r="E211" t="s">
        <v>3770</v>
      </c>
      <c r="F211" t="s">
        <v>3206</v>
      </c>
      <c r="G211" t="s">
        <v>3771</v>
      </c>
    </row>
    <row r="212" spans="1:7" ht="11.25" customHeight="1">
      <c r="A212" t="s">
        <v>16</v>
      </c>
      <c r="B212" t="s">
        <v>3761</v>
      </c>
      <c r="C212" t="s">
        <v>3762</v>
      </c>
      <c r="D212" t="s">
        <v>3772</v>
      </c>
      <c r="E212" t="s">
        <v>3773</v>
      </c>
      <c r="F212" t="s">
        <v>3206</v>
      </c>
      <c r="G212" t="s">
        <v>3774</v>
      </c>
    </row>
    <row r="213" spans="1:7" ht="11.25" customHeight="1">
      <c r="A213" t="s">
        <v>16</v>
      </c>
      <c r="B213" t="s">
        <v>3761</v>
      </c>
      <c r="C213" t="s">
        <v>3762</v>
      </c>
      <c r="D213" t="s">
        <v>3775</v>
      </c>
      <c r="E213" t="s">
        <v>3776</v>
      </c>
      <c r="F213" t="s">
        <v>3206</v>
      </c>
      <c r="G213" t="s">
        <v>3777</v>
      </c>
    </row>
    <row r="214" spans="1:7" ht="11.25" customHeight="1">
      <c r="A214" t="s">
        <v>16</v>
      </c>
      <c r="B214" t="s">
        <v>3761</v>
      </c>
      <c r="C214" t="s">
        <v>3762</v>
      </c>
      <c r="D214" t="s">
        <v>3778</v>
      </c>
      <c r="E214" t="s">
        <v>3779</v>
      </c>
      <c r="F214" t="s">
        <v>3257</v>
      </c>
      <c r="G214" t="s">
        <v>3780</v>
      </c>
    </row>
    <row r="215" spans="1:7" ht="11.25" customHeight="1">
      <c r="A215" t="s">
        <v>16</v>
      </c>
      <c r="B215" t="s">
        <v>3761</v>
      </c>
      <c r="C215" t="s">
        <v>3762</v>
      </c>
      <c r="D215" t="s">
        <v>3781</v>
      </c>
      <c r="E215" t="s">
        <v>3782</v>
      </c>
      <c r="F215" t="s">
        <v>3206</v>
      </c>
      <c r="G215" t="s">
        <v>3783</v>
      </c>
    </row>
    <row r="216" spans="1:7" ht="11.25" customHeight="1">
      <c r="A216" t="s">
        <v>16</v>
      </c>
      <c r="B216" t="s">
        <v>3761</v>
      </c>
      <c r="C216" t="s">
        <v>3762</v>
      </c>
      <c r="D216" t="s">
        <v>3784</v>
      </c>
      <c r="E216" t="s">
        <v>3785</v>
      </c>
      <c r="F216" t="s">
        <v>3206</v>
      </c>
      <c r="G216" t="s">
        <v>3786</v>
      </c>
    </row>
    <row r="217" spans="1:7" ht="11.25" customHeight="1">
      <c r="A217" t="s">
        <v>16</v>
      </c>
      <c r="B217" t="s">
        <v>3761</v>
      </c>
      <c r="C217" t="s">
        <v>3762</v>
      </c>
      <c r="D217" t="s">
        <v>3761</v>
      </c>
      <c r="E217" t="s">
        <v>3762</v>
      </c>
      <c r="F217" t="s">
        <v>3207</v>
      </c>
      <c r="G217" t="s">
        <v>3787</v>
      </c>
    </row>
    <row r="218" spans="1:7" ht="11.25" customHeight="1">
      <c r="A218" t="s">
        <v>16</v>
      </c>
      <c r="B218" t="s">
        <v>3761</v>
      </c>
      <c r="C218" t="s">
        <v>3762</v>
      </c>
      <c r="D218" t="s">
        <v>3788</v>
      </c>
      <c r="E218" t="s">
        <v>3789</v>
      </c>
      <c r="F218" t="s">
        <v>3206</v>
      </c>
      <c r="G218" t="s">
        <v>3790</v>
      </c>
    </row>
    <row r="219" spans="1:7" ht="11.25" customHeight="1">
      <c r="A219" t="s">
        <v>16</v>
      </c>
      <c r="B219" t="s">
        <v>3761</v>
      </c>
      <c r="C219" t="s">
        <v>3762</v>
      </c>
      <c r="D219" t="s">
        <v>3791</v>
      </c>
      <c r="E219" t="s">
        <v>3792</v>
      </c>
      <c r="F219" t="s">
        <v>3206</v>
      </c>
      <c r="G219" t="s">
        <v>3793</v>
      </c>
    </row>
    <row r="220" spans="1:7" ht="11.25" customHeight="1">
      <c r="A220" t="s">
        <v>16</v>
      </c>
      <c r="B220" t="s">
        <v>3761</v>
      </c>
      <c r="C220" t="s">
        <v>3762</v>
      </c>
      <c r="D220" t="s">
        <v>3794</v>
      </c>
      <c r="E220" t="s">
        <v>3795</v>
      </c>
      <c r="F220" t="s">
        <v>3206</v>
      </c>
      <c r="G220" t="s">
        <v>3796</v>
      </c>
    </row>
    <row r="221" spans="1:7" ht="11.25" customHeight="1">
      <c r="A221" t="s">
        <v>16</v>
      </c>
      <c r="B221" t="s">
        <v>3797</v>
      </c>
      <c r="C221" t="s">
        <v>3798</v>
      </c>
      <c r="D221" t="s">
        <v>3799</v>
      </c>
      <c r="E221" t="s">
        <v>3800</v>
      </c>
      <c r="F221" t="s">
        <v>3206</v>
      </c>
      <c r="G221" t="s">
        <v>3801</v>
      </c>
    </row>
    <row r="222" spans="1:7" ht="11.25" customHeight="1">
      <c r="A222" t="s">
        <v>16</v>
      </c>
      <c r="B222" t="s">
        <v>3797</v>
      </c>
      <c r="C222" t="s">
        <v>3798</v>
      </c>
      <c r="D222" t="s">
        <v>3802</v>
      </c>
      <c r="E222" t="s">
        <v>3803</v>
      </c>
      <c r="F222" t="s">
        <v>3206</v>
      </c>
      <c r="G222" t="s">
        <v>3804</v>
      </c>
    </row>
    <row r="223" spans="1:7" ht="11.25" customHeight="1">
      <c r="A223" t="s">
        <v>16</v>
      </c>
      <c r="B223" t="s">
        <v>3797</v>
      </c>
      <c r="C223" t="s">
        <v>3798</v>
      </c>
      <c r="D223" t="s">
        <v>3805</v>
      </c>
      <c r="E223" t="s">
        <v>3806</v>
      </c>
      <c r="F223" t="s">
        <v>3257</v>
      </c>
      <c r="G223" t="s">
        <v>3807</v>
      </c>
    </row>
    <row r="224" spans="1:7" ht="11.25" customHeight="1">
      <c r="A224" t="s">
        <v>16</v>
      </c>
      <c r="B224" t="s">
        <v>3797</v>
      </c>
      <c r="C224" t="s">
        <v>3798</v>
      </c>
      <c r="D224" t="s">
        <v>3808</v>
      </c>
      <c r="E224" t="s">
        <v>3809</v>
      </c>
      <c r="F224" t="s">
        <v>3206</v>
      </c>
      <c r="G224" t="s">
        <v>3810</v>
      </c>
    </row>
    <row r="225" spans="1:7" ht="11.25" customHeight="1">
      <c r="A225" t="s">
        <v>16</v>
      </c>
      <c r="B225" t="s">
        <v>3797</v>
      </c>
      <c r="C225" t="s">
        <v>3798</v>
      </c>
      <c r="D225" t="s">
        <v>3811</v>
      </c>
      <c r="E225" t="s">
        <v>3812</v>
      </c>
      <c r="F225" t="s">
        <v>3206</v>
      </c>
      <c r="G225" t="s">
        <v>3813</v>
      </c>
    </row>
    <row r="226" spans="1:7" ht="11.25" customHeight="1">
      <c r="A226" t="s">
        <v>16</v>
      </c>
      <c r="B226" t="s">
        <v>3797</v>
      </c>
      <c r="C226" t="s">
        <v>3798</v>
      </c>
      <c r="D226" t="s">
        <v>3814</v>
      </c>
      <c r="E226" t="s">
        <v>3815</v>
      </c>
      <c r="F226" t="s">
        <v>3206</v>
      </c>
      <c r="G226" t="s">
        <v>3816</v>
      </c>
    </row>
    <row r="227" spans="1:7" ht="11.25" customHeight="1">
      <c r="A227" t="s">
        <v>16</v>
      </c>
      <c r="B227" t="s">
        <v>3797</v>
      </c>
      <c r="C227" t="s">
        <v>3798</v>
      </c>
      <c r="D227" t="s">
        <v>3817</v>
      </c>
      <c r="E227" t="s">
        <v>3818</v>
      </c>
      <c r="F227" t="s">
        <v>3206</v>
      </c>
      <c r="G227" t="s">
        <v>3819</v>
      </c>
    </row>
    <row r="228" spans="1:7" ht="11.25" customHeight="1">
      <c r="A228" t="s">
        <v>16</v>
      </c>
      <c r="B228" t="s">
        <v>3797</v>
      </c>
      <c r="C228" t="s">
        <v>3798</v>
      </c>
      <c r="D228" t="s">
        <v>3820</v>
      </c>
      <c r="E228" t="s">
        <v>3821</v>
      </c>
      <c r="F228" t="s">
        <v>3206</v>
      </c>
      <c r="G228" t="s">
        <v>3822</v>
      </c>
    </row>
    <row r="229" spans="1:7" ht="11.25" customHeight="1">
      <c r="A229" t="s">
        <v>16</v>
      </c>
      <c r="B229" t="s">
        <v>3797</v>
      </c>
      <c r="C229" t="s">
        <v>3798</v>
      </c>
      <c r="D229" t="s">
        <v>3823</v>
      </c>
      <c r="E229" t="s">
        <v>3824</v>
      </c>
      <c r="F229" t="s">
        <v>3206</v>
      </c>
      <c r="G229" t="s">
        <v>3825</v>
      </c>
    </row>
    <row r="230" spans="1:7" ht="11.25" customHeight="1">
      <c r="A230" t="s">
        <v>16</v>
      </c>
      <c r="B230" t="s">
        <v>3797</v>
      </c>
      <c r="C230" t="s">
        <v>3798</v>
      </c>
      <c r="D230" t="s">
        <v>3797</v>
      </c>
      <c r="E230" t="s">
        <v>3798</v>
      </c>
      <c r="F230" t="s">
        <v>3207</v>
      </c>
      <c r="G230" t="s">
        <v>3826</v>
      </c>
    </row>
    <row r="231" spans="1:7" ht="11.25" customHeight="1">
      <c r="A231" t="s">
        <v>16</v>
      </c>
      <c r="B231" t="s">
        <v>3797</v>
      </c>
      <c r="C231" t="s">
        <v>3798</v>
      </c>
      <c r="D231" t="s">
        <v>3827</v>
      </c>
      <c r="E231" t="s">
        <v>3828</v>
      </c>
      <c r="F231" t="s">
        <v>3206</v>
      </c>
      <c r="G231" t="s">
        <v>3829</v>
      </c>
    </row>
    <row r="232" spans="1:7" ht="11.25" customHeight="1">
      <c r="A232" t="s">
        <v>16</v>
      </c>
      <c r="B232" t="s">
        <v>3797</v>
      </c>
      <c r="C232" t="s">
        <v>3798</v>
      </c>
      <c r="D232" t="s">
        <v>3830</v>
      </c>
      <c r="E232" t="s">
        <v>3831</v>
      </c>
      <c r="F232" t="s">
        <v>3206</v>
      </c>
      <c r="G232" t="s">
        <v>3832</v>
      </c>
    </row>
    <row r="233" spans="1:7" ht="11.25" customHeight="1">
      <c r="A233" t="s">
        <v>16</v>
      </c>
      <c r="B233" t="s">
        <v>3797</v>
      </c>
      <c r="C233" t="s">
        <v>3798</v>
      </c>
      <c r="D233" t="s">
        <v>3833</v>
      </c>
      <c r="E233" t="s">
        <v>3834</v>
      </c>
      <c r="F233" t="s">
        <v>3222</v>
      </c>
      <c r="G233" t="s">
        <v>3835</v>
      </c>
    </row>
    <row r="234" spans="1:7" ht="11.25" customHeight="1">
      <c r="A234" t="s">
        <v>16</v>
      </c>
      <c r="B234" t="s">
        <v>3836</v>
      </c>
      <c r="C234" t="s">
        <v>3837</v>
      </c>
      <c r="D234" t="s">
        <v>3838</v>
      </c>
      <c r="E234" t="s">
        <v>3839</v>
      </c>
      <c r="F234" t="s">
        <v>3206</v>
      </c>
      <c r="G234" t="s">
        <v>3840</v>
      </c>
    </row>
    <row r="235" spans="1:7" ht="11.25" customHeight="1">
      <c r="A235" t="s">
        <v>16</v>
      </c>
      <c r="B235" t="s">
        <v>3836</v>
      </c>
      <c r="C235" t="s">
        <v>3837</v>
      </c>
      <c r="D235" t="s">
        <v>3841</v>
      </c>
      <c r="E235" t="s">
        <v>3842</v>
      </c>
      <c r="F235" t="s">
        <v>3206</v>
      </c>
      <c r="G235" t="s">
        <v>3843</v>
      </c>
    </row>
    <row r="236" spans="1:7" ht="11.25" customHeight="1">
      <c r="A236" t="s">
        <v>16</v>
      </c>
      <c r="B236" t="s">
        <v>3836</v>
      </c>
      <c r="C236" t="s">
        <v>3837</v>
      </c>
      <c r="D236" t="s">
        <v>3836</v>
      </c>
      <c r="E236" t="s">
        <v>3837</v>
      </c>
      <c r="F236" t="s">
        <v>3207</v>
      </c>
      <c r="G236" t="s">
        <v>3844</v>
      </c>
    </row>
    <row r="237" spans="1:7" ht="11.25" customHeight="1">
      <c r="A237" t="s">
        <v>16</v>
      </c>
      <c r="B237" t="s">
        <v>3836</v>
      </c>
      <c r="C237" t="s">
        <v>3837</v>
      </c>
      <c r="D237" t="s">
        <v>3845</v>
      </c>
      <c r="E237" t="s">
        <v>3846</v>
      </c>
      <c r="F237" t="s">
        <v>3222</v>
      </c>
      <c r="G237" t="s">
        <v>3847</v>
      </c>
    </row>
    <row r="238" spans="1:7" ht="11.25" customHeight="1">
      <c r="A238" t="s">
        <v>16</v>
      </c>
      <c r="B238" t="s">
        <v>3836</v>
      </c>
      <c r="C238" t="s">
        <v>3837</v>
      </c>
      <c r="D238" t="s">
        <v>3848</v>
      </c>
      <c r="E238" t="s">
        <v>3849</v>
      </c>
      <c r="F238" t="s">
        <v>3206</v>
      </c>
      <c r="G238" t="s">
        <v>3850</v>
      </c>
    </row>
    <row r="239" spans="1:7" ht="11.25" customHeight="1">
      <c r="A239" t="s">
        <v>16</v>
      </c>
      <c r="B239" t="s">
        <v>3836</v>
      </c>
      <c r="C239" t="s">
        <v>3837</v>
      </c>
      <c r="D239" t="s">
        <v>3851</v>
      </c>
      <c r="E239" t="s">
        <v>3852</v>
      </c>
      <c r="F239" t="s">
        <v>3206</v>
      </c>
      <c r="G239" t="s">
        <v>3853</v>
      </c>
    </row>
    <row r="240" spans="1:7" ht="11.25" customHeight="1">
      <c r="A240" t="s">
        <v>16</v>
      </c>
      <c r="B240" t="s">
        <v>3836</v>
      </c>
      <c r="C240" t="s">
        <v>3837</v>
      </c>
      <c r="D240" t="s">
        <v>3854</v>
      </c>
      <c r="E240" t="s">
        <v>3855</v>
      </c>
      <c r="F240" t="s">
        <v>3206</v>
      </c>
      <c r="G240" t="s">
        <v>3856</v>
      </c>
    </row>
    <row r="241" spans="1:7" ht="11.25" customHeight="1">
      <c r="A241" t="s">
        <v>16</v>
      </c>
      <c r="B241" t="s">
        <v>3836</v>
      </c>
      <c r="C241" t="s">
        <v>3837</v>
      </c>
      <c r="D241" t="s">
        <v>3857</v>
      </c>
      <c r="E241" t="s">
        <v>3858</v>
      </c>
      <c r="F241" t="s">
        <v>3206</v>
      </c>
      <c r="G241" t="s">
        <v>3859</v>
      </c>
    </row>
    <row r="242" spans="1:7" ht="11.25" customHeight="1">
      <c r="A242" t="s">
        <v>16</v>
      </c>
      <c r="B242" t="s">
        <v>3836</v>
      </c>
      <c r="C242" t="s">
        <v>3837</v>
      </c>
      <c r="D242" t="s">
        <v>3860</v>
      </c>
      <c r="E242" t="s">
        <v>3861</v>
      </c>
      <c r="F242" t="s">
        <v>3206</v>
      </c>
      <c r="G242" t="s">
        <v>3862</v>
      </c>
    </row>
    <row r="243" spans="1:7" ht="11.25" customHeight="1">
      <c r="A243" t="s">
        <v>16</v>
      </c>
      <c r="B243" t="s">
        <v>100</v>
      </c>
      <c r="C243" t="s">
        <v>3863</v>
      </c>
      <c r="D243" t="s">
        <v>3864</v>
      </c>
      <c r="E243" t="s">
        <v>3865</v>
      </c>
      <c r="F243" t="s">
        <v>3206</v>
      </c>
      <c r="G243" t="s">
        <v>3866</v>
      </c>
    </row>
    <row r="244" spans="1:7" ht="11.25" customHeight="1">
      <c r="A244" t="s">
        <v>16</v>
      </c>
      <c r="B244" t="s">
        <v>100</v>
      </c>
      <c r="C244" t="s">
        <v>3863</v>
      </c>
      <c r="D244" t="s">
        <v>3867</v>
      </c>
      <c r="E244" t="s">
        <v>3868</v>
      </c>
      <c r="F244" t="s">
        <v>3206</v>
      </c>
      <c r="G244" t="s">
        <v>3869</v>
      </c>
    </row>
    <row r="245" spans="1:7" ht="11.25" customHeight="1">
      <c r="A245" t="s">
        <v>16</v>
      </c>
      <c r="B245" t="s">
        <v>100</v>
      </c>
      <c r="C245" t="s">
        <v>3863</v>
      </c>
      <c r="D245" t="s">
        <v>3870</v>
      </c>
      <c r="E245" t="s">
        <v>3871</v>
      </c>
      <c r="F245" t="s">
        <v>3206</v>
      </c>
      <c r="G245" t="s">
        <v>3872</v>
      </c>
    </row>
    <row r="246" spans="1:7" ht="11.25" customHeight="1">
      <c r="A246" t="s">
        <v>16</v>
      </c>
      <c r="B246" t="s">
        <v>100</v>
      </c>
      <c r="C246" t="s">
        <v>3863</v>
      </c>
      <c r="D246" t="s">
        <v>3873</v>
      </c>
      <c r="E246" t="s">
        <v>3874</v>
      </c>
      <c r="F246" t="s">
        <v>3206</v>
      </c>
      <c r="G246" t="s">
        <v>3875</v>
      </c>
    </row>
    <row r="247" spans="1:7" ht="11.25" customHeight="1">
      <c r="A247" t="s">
        <v>16</v>
      </c>
      <c r="B247" t="s">
        <v>100</v>
      </c>
      <c r="C247" t="s">
        <v>3863</v>
      </c>
      <c r="D247" t="s">
        <v>3876</v>
      </c>
      <c r="E247" t="s">
        <v>3877</v>
      </c>
      <c r="F247" t="s">
        <v>3206</v>
      </c>
      <c r="G247" t="s">
        <v>3878</v>
      </c>
    </row>
    <row r="248" spans="1:7" ht="11.25" customHeight="1">
      <c r="A248" t="s">
        <v>16</v>
      </c>
      <c r="B248" t="s">
        <v>100</v>
      </c>
      <c r="C248" t="s">
        <v>3863</v>
      </c>
      <c r="D248" t="s">
        <v>3879</v>
      </c>
      <c r="E248" t="s">
        <v>3880</v>
      </c>
      <c r="F248" t="s">
        <v>3206</v>
      </c>
      <c r="G248" t="s">
        <v>3881</v>
      </c>
    </row>
    <row r="249" spans="1:7" ht="11.25" customHeight="1">
      <c r="A249" t="s">
        <v>16</v>
      </c>
      <c r="B249" t="s">
        <v>100</v>
      </c>
      <c r="C249" t="s">
        <v>3863</v>
      </c>
      <c r="D249" t="s">
        <v>101</v>
      </c>
      <c r="E249" t="s">
        <v>102</v>
      </c>
      <c r="F249" t="s">
        <v>3206</v>
      </c>
      <c r="G249" t="s">
        <v>99</v>
      </c>
    </row>
    <row r="250" spans="1:7" ht="11.25" customHeight="1">
      <c r="A250" t="s">
        <v>16</v>
      </c>
      <c r="B250" t="s">
        <v>100</v>
      </c>
      <c r="C250" t="s">
        <v>3863</v>
      </c>
      <c r="D250" t="s">
        <v>3882</v>
      </c>
      <c r="E250" t="s">
        <v>3883</v>
      </c>
      <c r="F250" t="s">
        <v>3206</v>
      </c>
      <c r="G250" t="s">
        <v>3884</v>
      </c>
    </row>
    <row r="251" spans="1:7" ht="11.25" customHeight="1">
      <c r="A251" t="s">
        <v>16</v>
      </c>
      <c r="B251" t="s">
        <v>100</v>
      </c>
      <c r="C251" t="s">
        <v>3863</v>
      </c>
      <c r="D251" t="s">
        <v>3885</v>
      </c>
      <c r="E251" t="s">
        <v>3886</v>
      </c>
      <c r="F251" t="s">
        <v>3206</v>
      </c>
      <c r="G251" t="s">
        <v>3887</v>
      </c>
    </row>
    <row r="252" spans="1:7" ht="11.25" customHeight="1">
      <c r="A252" t="s">
        <v>16</v>
      </c>
      <c r="B252" t="s">
        <v>100</v>
      </c>
      <c r="C252" t="s">
        <v>3863</v>
      </c>
      <c r="D252" t="s">
        <v>3888</v>
      </c>
      <c r="E252" t="s">
        <v>3889</v>
      </c>
      <c r="F252" t="s">
        <v>3206</v>
      </c>
      <c r="G252" t="s">
        <v>3890</v>
      </c>
    </row>
    <row r="253" spans="1:7" ht="11.25" customHeight="1">
      <c r="A253" t="s">
        <v>16</v>
      </c>
      <c r="B253" t="s">
        <v>100</v>
      </c>
      <c r="C253" t="s">
        <v>3863</v>
      </c>
      <c r="D253" t="s">
        <v>3891</v>
      </c>
      <c r="E253" t="s">
        <v>3892</v>
      </c>
      <c r="F253" t="s">
        <v>3206</v>
      </c>
      <c r="G253" t="s">
        <v>3893</v>
      </c>
    </row>
    <row r="254" spans="1:7" ht="11.25" customHeight="1">
      <c r="A254" t="s">
        <v>16</v>
      </c>
      <c r="B254" t="s">
        <v>100</v>
      </c>
      <c r="C254" t="s">
        <v>3863</v>
      </c>
      <c r="D254" t="s">
        <v>3894</v>
      </c>
      <c r="E254" t="s">
        <v>3895</v>
      </c>
      <c r="F254" t="s">
        <v>3206</v>
      </c>
      <c r="G254" t="s">
        <v>3896</v>
      </c>
    </row>
    <row r="255" spans="1:7" ht="11.25" customHeight="1">
      <c r="A255" t="s">
        <v>16</v>
      </c>
      <c r="B255" t="s">
        <v>100</v>
      </c>
      <c r="C255" t="s">
        <v>3863</v>
      </c>
      <c r="D255" t="s">
        <v>3897</v>
      </c>
      <c r="E255" t="s">
        <v>3898</v>
      </c>
      <c r="F255" t="s">
        <v>3206</v>
      </c>
      <c r="G255" t="s">
        <v>3899</v>
      </c>
    </row>
    <row r="256" spans="1:7" ht="11.25" customHeight="1">
      <c r="A256" t="s">
        <v>16</v>
      </c>
      <c r="B256" t="s">
        <v>100</v>
      </c>
      <c r="C256" t="s">
        <v>3863</v>
      </c>
      <c r="D256" t="s">
        <v>3900</v>
      </c>
      <c r="E256" t="s">
        <v>3901</v>
      </c>
      <c r="F256" t="s">
        <v>3206</v>
      </c>
      <c r="G256" t="s">
        <v>3902</v>
      </c>
    </row>
    <row r="257" spans="1:7" ht="11.25" customHeight="1">
      <c r="A257" t="s">
        <v>16</v>
      </c>
      <c r="B257" t="s">
        <v>100</v>
      </c>
      <c r="C257" t="s">
        <v>3863</v>
      </c>
      <c r="D257" t="s">
        <v>100</v>
      </c>
      <c r="E257" t="s">
        <v>3863</v>
      </c>
      <c r="F257" t="s">
        <v>3207</v>
      </c>
      <c r="G257" t="s">
        <v>3903</v>
      </c>
    </row>
    <row r="258" spans="1:7" ht="11.25" customHeight="1">
      <c r="A258" t="s">
        <v>16</v>
      </c>
      <c r="B258" t="s">
        <v>100</v>
      </c>
      <c r="C258" t="s">
        <v>3863</v>
      </c>
      <c r="D258" t="s">
        <v>3904</v>
      </c>
      <c r="E258" t="s">
        <v>3905</v>
      </c>
      <c r="F258" t="s">
        <v>3206</v>
      </c>
      <c r="G258" t="s">
        <v>3906</v>
      </c>
    </row>
    <row r="259" spans="1:7" ht="11.25" customHeight="1">
      <c r="A259" t="s">
        <v>16</v>
      </c>
      <c r="B259" t="s">
        <v>100</v>
      </c>
      <c r="C259" t="s">
        <v>3863</v>
      </c>
      <c r="D259" t="s">
        <v>3907</v>
      </c>
      <c r="E259" t="s">
        <v>3908</v>
      </c>
      <c r="F259" t="s">
        <v>3222</v>
      </c>
      <c r="G259" t="s">
        <v>3909</v>
      </c>
    </row>
    <row r="260" spans="1:7" ht="11.25" customHeight="1">
      <c r="A260" t="s">
        <v>16</v>
      </c>
      <c r="B260" t="s">
        <v>100</v>
      </c>
      <c r="C260" t="s">
        <v>3863</v>
      </c>
      <c r="D260" t="s">
        <v>3910</v>
      </c>
      <c r="E260" t="s">
        <v>3911</v>
      </c>
      <c r="F260" t="s">
        <v>3206</v>
      </c>
      <c r="G260" t="s">
        <v>3912</v>
      </c>
    </row>
    <row r="261" spans="1:7" ht="11.25" customHeight="1">
      <c r="A261" t="s">
        <v>16</v>
      </c>
      <c r="B261" t="s">
        <v>100</v>
      </c>
      <c r="C261" t="s">
        <v>3863</v>
      </c>
      <c r="D261" t="s">
        <v>3913</v>
      </c>
      <c r="E261" t="s">
        <v>3914</v>
      </c>
      <c r="F261" t="s">
        <v>3206</v>
      </c>
      <c r="G261" t="s">
        <v>3915</v>
      </c>
    </row>
    <row r="262" spans="1:7" ht="11.25" customHeight="1">
      <c r="A262" t="s">
        <v>16</v>
      </c>
      <c r="B262" t="s">
        <v>3916</v>
      </c>
      <c r="C262" t="s">
        <v>3917</v>
      </c>
      <c r="D262" t="s">
        <v>3918</v>
      </c>
      <c r="E262" t="s">
        <v>3919</v>
      </c>
      <c r="F262" t="s">
        <v>3257</v>
      </c>
      <c r="G262" t="s">
        <v>3920</v>
      </c>
    </row>
    <row r="263" spans="1:7" ht="11.25" customHeight="1">
      <c r="A263" t="s">
        <v>16</v>
      </c>
      <c r="B263" t="s">
        <v>3916</v>
      </c>
      <c r="C263" t="s">
        <v>3917</v>
      </c>
      <c r="D263" t="s">
        <v>3921</v>
      </c>
      <c r="E263" t="s">
        <v>3922</v>
      </c>
      <c r="F263" t="s">
        <v>3206</v>
      </c>
      <c r="G263" t="s">
        <v>3923</v>
      </c>
    </row>
    <row r="264" spans="1:7" ht="11.25" customHeight="1">
      <c r="A264" t="s">
        <v>16</v>
      </c>
      <c r="B264" t="s">
        <v>3916</v>
      </c>
      <c r="C264" t="s">
        <v>3917</v>
      </c>
      <c r="D264" t="s">
        <v>3924</v>
      </c>
      <c r="E264" t="s">
        <v>3925</v>
      </c>
      <c r="F264" t="s">
        <v>3206</v>
      </c>
      <c r="G264" t="s">
        <v>3926</v>
      </c>
    </row>
    <row r="265" spans="1:7" ht="11.25" customHeight="1">
      <c r="A265" t="s">
        <v>16</v>
      </c>
      <c r="B265" t="s">
        <v>3916</v>
      </c>
      <c r="C265" t="s">
        <v>3917</v>
      </c>
      <c r="D265" t="s">
        <v>3927</v>
      </c>
      <c r="E265" t="s">
        <v>3928</v>
      </c>
      <c r="F265" t="s">
        <v>3206</v>
      </c>
      <c r="G265" t="s">
        <v>3929</v>
      </c>
    </row>
    <row r="266" spans="1:7" ht="11.25" customHeight="1">
      <c r="A266" t="s">
        <v>16</v>
      </c>
      <c r="B266" t="s">
        <v>3916</v>
      </c>
      <c r="C266" t="s">
        <v>3917</v>
      </c>
      <c r="D266" t="s">
        <v>3930</v>
      </c>
      <c r="E266" t="s">
        <v>3931</v>
      </c>
      <c r="F266" t="s">
        <v>3206</v>
      </c>
      <c r="G266" t="s">
        <v>3932</v>
      </c>
    </row>
    <row r="267" spans="1:7" ht="11.25" customHeight="1">
      <c r="A267" t="s">
        <v>16</v>
      </c>
      <c r="B267" t="s">
        <v>3916</v>
      </c>
      <c r="C267" t="s">
        <v>3917</v>
      </c>
      <c r="D267" t="s">
        <v>3933</v>
      </c>
      <c r="E267" t="s">
        <v>3934</v>
      </c>
      <c r="F267" t="s">
        <v>3206</v>
      </c>
      <c r="G267" t="s">
        <v>3935</v>
      </c>
    </row>
    <row r="268" spans="1:7" ht="11.25" customHeight="1">
      <c r="A268" t="s">
        <v>16</v>
      </c>
      <c r="B268" t="s">
        <v>3916</v>
      </c>
      <c r="C268" t="s">
        <v>3917</v>
      </c>
      <c r="D268" t="s">
        <v>3936</v>
      </c>
      <c r="E268" t="s">
        <v>3937</v>
      </c>
      <c r="F268" t="s">
        <v>3206</v>
      </c>
      <c r="G268" t="s">
        <v>3938</v>
      </c>
    </row>
    <row r="269" spans="1:7" ht="11.25" customHeight="1">
      <c r="A269" t="s">
        <v>16</v>
      </c>
      <c r="B269" t="s">
        <v>3916</v>
      </c>
      <c r="C269" t="s">
        <v>3917</v>
      </c>
      <c r="D269" t="s">
        <v>3939</v>
      </c>
      <c r="E269" t="s">
        <v>3940</v>
      </c>
      <c r="F269" t="s">
        <v>3206</v>
      </c>
      <c r="G269" t="s">
        <v>3941</v>
      </c>
    </row>
    <row r="270" spans="1:7" ht="11.25" customHeight="1">
      <c r="A270" t="s">
        <v>16</v>
      </c>
      <c r="B270" t="s">
        <v>3916</v>
      </c>
      <c r="C270" t="s">
        <v>3917</v>
      </c>
      <c r="D270" t="s">
        <v>3942</v>
      </c>
      <c r="E270" t="s">
        <v>3943</v>
      </c>
      <c r="F270" t="s">
        <v>3206</v>
      </c>
      <c r="G270" t="s">
        <v>3944</v>
      </c>
    </row>
    <row r="271" spans="1:7" ht="11.25" customHeight="1">
      <c r="A271" t="s">
        <v>16</v>
      </c>
      <c r="B271" t="s">
        <v>3916</v>
      </c>
      <c r="C271" t="s">
        <v>3917</v>
      </c>
      <c r="D271" t="s">
        <v>3945</v>
      </c>
      <c r="E271" t="s">
        <v>3946</v>
      </c>
      <c r="F271" t="s">
        <v>3206</v>
      </c>
      <c r="G271" t="s">
        <v>3947</v>
      </c>
    </row>
    <row r="272" spans="1:7" ht="11.25" customHeight="1">
      <c r="A272" t="s">
        <v>16</v>
      </c>
      <c r="B272" t="s">
        <v>3916</v>
      </c>
      <c r="C272" t="s">
        <v>3917</v>
      </c>
      <c r="D272" t="s">
        <v>3948</v>
      </c>
      <c r="E272" t="s">
        <v>3949</v>
      </c>
      <c r="F272" t="s">
        <v>3206</v>
      </c>
      <c r="G272" t="s">
        <v>3950</v>
      </c>
    </row>
    <row r="273" spans="1:7" ht="11.25" customHeight="1">
      <c r="A273" t="s">
        <v>16</v>
      </c>
      <c r="B273" t="s">
        <v>3916</v>
      </c>
      <c r="C273" t="s">
        <v>3917</v>
      </c>
      <c r="D273" t="s">
        <v>3916</v>
      </c>
      <c r="E273" t="s">
        <v>3917</v>
      </c>
      <c r="F273" t="s">
        <v>3207</v>
      </c>
      <c r="G273" t="s">
        <v>3951</v>
      </c>
    </row>
    <row r="274" spans="1:7" ht="11.25" customHeight="1">
      <c r="A274" t="s">
        <v>16</v>
      </c>
      <c r="B274" t="s">
        <v>3916</v>
      </c>
      <c r="C274" t="s">
        <v>3917</v>
      </c>
      <c r="D274" t="s">
        <v>3952</v>
      </c>
      <c r="E274" t="s">
        <v>3953</v>
      </c>
      <c r="F274" t="s">
        <v>3206</v>
      </c>
      <c r="G274" t="s">
        <v>3954</v>
      </c>
    </row>
    <row r="275" spans="1:7" ht="11.25" customHeight="1">
      <c r="A275" t="s">
        <v>16</v>
      </c>
      <c r="B275" t="s">
        <v>3955</v>
      </c>
      <c r="C275" t="s">
        <v>3956</v>
      </c>
      <c r="D275" t="s">
        <v>3957</v>
      </c>
      <c r="E275" t="s">
        <v>3958</v>
      </c>
      <c r="F275" t="s">
        <v>3206</v>
      </c>
      <c r="G275" t="s">
        <v>3959</v>
      </c>
    </row>
    <row r="276" spans="1:7" ht="11.25" customHeight="1">
      <c r="A276" t="s">
        <v>16</v>
      </c>
      <c r="B276" t="s">
        <v>3955</v>
      </c>
      <c r="C276" t="s">
        <v>3956</v>
      </c>
      <c r="D276" t="s">
        <v>3960</v>
      </c>
      <c r="E276" t="s">
        <v>3961</v>
      </c>
      <c r="F276" t="s">
        <v>3206</v>
      </c>
      <c r="G276" t="s">
        <v>3962</v>
      </c>
    </row>
    <row r="277" spans="1:7" ht="11.25" customHeight="1">
      <c r="A277" t="s">
        <v>16</v>
      </c>
      <c r="B277" t="s">
        <v>3955</v>
      </c>
      <c r="C277" t="s">
        <v>3956</v>
      </c>
      <c r="D277" t="s">
        <v>3963</v>
      </c>
      <c r="E277" t="s">
        <v>3964</v>
      </c>
      <c r="F277" t="s">
        <v>3206</v>
      </c>
      <c r="G277" t="s">
        <v>3965</v>
      </c>
    </row>
    <row r="278" spans="1:7" ht="11.25" customHeight="1">
      <c r="A278" t="s">
        <v>16</v>
      </c>
      <c r="B278" t="s">
        <v>3955</v>
      </c>
      <c r="C278" t="s">
        <v>3956</v>
      </c>
      <c r="D278" t="s">
        <v>3966</v>
      </c>
      <c r="E278" t="s">
        <v>3967</v>
      </c>
      <c r="F278" t="s">
        <v>3206</v>
      </c>
      <c r="G278" t="s">
        <v>3968</v>
      </c>
    </row>
    <row r="279" spans="1:7" ht="11.25" customHeight="1">
      <c r="A279" t="s">
        <v>16</v>
      </c>
      <c r="B279" t="s">
        <v>3955</v>
      </c>
      <c r="C279" t="s">
        <v>3956</v>
      </c>
      <c r="D279" t="s">
        <v>3969</v>
      </c>
      <c r="E279" t="s">
        <v>3970</v>
      </c>
      <c r="F279" t="s">
        <v>3206</v>
      </c>
      <c r="G279" t="s">
        <v>3971</v>
      </c>
    </row>
    <row r="280" spans="1:7" ht="11.25" customHeight="1">
      <c r="A280" t="s">
        <v>16</v>
      </c>
      <c r="B280" t="s">
        <v>3955</v>
      </c>
      <c r="C280" t="s">
        <v>3956</v>
      </c>
      <c r="D280" t="s">
        <v>3972</v>
      </c>
      <c r="E280" t="s">
        <v>3973</v>
      </c>
      <c r="F280" t="s">
        <v>3206</v>
      </c>
      <c r="G280" t="s">
        <v>3974</v>
      </c>
    </row>
    <row r="281" spans="1:7" ht="11.25" customHeight="1">
      <c r="A281" t="s">
        <v>16</v>
      </c>
      <c r="B281" t="s">
        <v>3955</v>
      </c>
      <c r="C281" t="s">
        <v>3956</v>
      </c>
      <c r="D281" t="s">
        <v>3975</v>
      </c>
      <c r="E281" t="s">
        <v>3976</v>
      </c>
      <c r="F281" t="s">
        <v>3206</v>
      </c>
      <c r="G281" t="s">
        <v>3977</v>
      </c>
    </row>
    <row r="282" spans="1:7" ht="11.25" customHeight="1">
      <c r="A282" t="s">
        <v>16</v>
      </c>
      <c r="B282" t="s">
        <v>3955</v>
      </c>
      <c r="C282" t="s">
        <v>3956</v>
      </c>
      <c r="D282" t="s">
        <v>3978</v>
      </c>
      <c r="E282" t="s">
        <v>3979</v>
      </c>
      <c r="F282" t="s">
        <v>3206</v>
      </c>
      <c r="G282" t="s">
        <v>3980</v>
      </c>
    </row>
    <row r="283" spans="1:7" ht="11.25" customHeight="1">
      <c r="A283" t="s">
        <v>16</v>
      </c>
      <c r="B283" t="s">
        <v>3955</v>
      </c>
      <c r="C283" t="s">
        <v>3956</v>
      </c>
      <c r="D283" t="s">
        <v>3981</v>
      </c>
      <c r="E283" t="s">
        <v>3982</v>
      </c>
      <c r="F283" t="s">
        <v>3222</v>
      </c>
      <c r="G283" t="s">
        <v>3983</v>
      </c>
    </row>
    <row r="284" spans="1:7" ht="11.25" customHeight="1">
      <c r="A284" t="s">
        <v>16</v>
      </c>
      <c r="B284" t="s">
        <v>3955</v>
      </c>
      <c r="C284" t="s">
        <v>3956</v>
      </c>
      <c r="D284" t="s">
        <v>3955</v>
      </c>
      <c r="E284" t="s">
        <v>3956</v>
      </c>
      <c r="F284" t="s">
        <v>3207</v>
      </c>
      <c r="G284" t="s">
        <v>3984</v>
      </c>
    </row>
    <row r="285" spans="1:7" ht="11.25" customHeight="1">
      <c r="A285" t="s">
        <v>16</v>
      </c>
      <c r="B285" t="s">
        <v>3955</v>
      </c>
      <c r="C285" t="s">
        <v>3956</v>
      </c>
      <c r="D285" t="s">
        <v>3985</v>
      </c>
      <c r="E285" t="s">
        <v>3986</v>
      </c>
      <c r="F285" t="s">
        <v>3206</v>
      </c>
      <c r="G285" t="s">
        <v>3987</v>
      </c>
    </row>
    <row r="286" spans="1:7" ht="11.25" customHeight="1">
      <c r="A286" t="s">
        <v>16</v>
      </c>
      <c r="B286" t="s">
        <v>3988</v>
      </c>
      <c r="C286" t="s">
        <v>3989</v>
      </c>
      <c r="D286" t="s">
        <v>3990</v>
      </c>
      <c r="E286" t="s">
        <v>3991</v>
      </c>
      <c r="F286" t="s">
        <v>3206</v>
      </c>
      <c r="G286" t="s">
        <v>3992</v>
      </c>
    </row>
    <row r="287" spans="1:7" ht="11.25" customHeight="1">
      <c r="A287" t="s">
        <v>16</v>
      </c>
      <c r="B287" t="s">
        <v>3988</v>
      </c>
      <c r="C287" t="s">
        <v>3989</v>
      </c>
      <c r="D287" t="s">
        <v>3993</v>
      </c>
      <c r="E287" t="s">
        <v>3994</v>
      </c>
      <c r="F287" t="s">
        <v>3206</v>
      </c>
      <c r="G287" t="s">
        <v>3995</v>
      </c>
    </row>
    <row r="288" spans="1:7" ht="11.25" customHeight="1">
      <c r="A288" t="s">
        <v>16</v>
      </c>
      <c r="B288" t="s">
        <v>3988</v>
      </c>
      <c r="C288" t="s">
        <v>3989</v>
      </c>
      <c r="D288" t="s">
        <v>3996</v>
      </c>
      <c r="E288" t="s">
        <v>3997</v>
      </c>
      <c r="F288" t="s">
        <v>3206</v>
      </c>
      <c r="G288" t="s">
        <v>3998</v>
      </c>
    </row>
    <row r="289" spans="1:7" ht="11.25" customHeight="1">
      <c r="A289" t="s">
        <v>16</v>
      </c>
      <c r="B289" t="s">
        <v>3988</v>
      </c>
      <c r="C289" t="s">
        <v>3989</v>
      </c>
      <c r="D289" t="s">
        <v>3999</v>
      </c>
      <c r="E289" t="s">
        <v>4000</v>
      </c>
      <c r="F289" t="s">
        <v>3257</v>
      </c>
      <c r="G289" t="s">
        <v>4001</v>
      </c>
    </row>
    <row r="290" spans="1:7" ht="11.25" customHeight="1">
      <c r="A290" t="s">
        <v>16</v>
      </c>
      <c r="B290" t="s">
        <v>3988</v>
      </c>
      <c r="C290" t="s">
        <v>3989</v>
      </c>
      <c r="D290" t="s">
        <v>4002</v>
      </c>
      <c r="E290" t="s">
        <v>4003</v>
      </c>
      <c r="F290" t="s">
        <v>3206</v>
      </c>
      <c r="G290" t="s">
        <v>4004</v>
      </c>
    </row>
    <row r="291" spans="1:7" ht="11.25" customHeight="1">
      <c r="A291" t="s">
        <v>16</v>
      </c>
      <c r="B291" t="s">
        <v>3988</v>
      </c>
      <c r="C291" t="s">
        <v>3989</v>
      </c>
      <c r="D291" t="s">
        <v>4005</v>
      </c>
      <c r="E291" t="s">
        <v>4006</v>
      </c>
      <c r="F291" t="s">
        <v>3206</v>
      </c>
      <c r="G291" t="s">
        <v>4007</v>
      </c>
    </row>
    <row r="292" spans="1:7" ht="11.25" customHeight="1">
      <c r="A292" t="s">
        <v>16</v>
      </c>
      <c r="B292" t="s">
        <v>3988</v>
      </c>
      <c r="C292" t="s">
        <v>3989</v>
      </c>
      <c r="D292" t="s">
        <v>4008</v>
      </c>
      <c r="E292" t="s">
        <v>4009</v>
      </c>
      <c r="F292" t="s">
        <v>3206</v>
      </c>
      <c r="G292" t="s">
        <v>4010</v>
      </c>
    </row>
    <row r="293" spans="1:7" ht="11.25" customHeight="1">
      <c r="A293" t="s">
        <v>16</v>
      </c>
      <c r="B293" t="s">
        <v>3988</v>
      </c>
      <c r="C293" t="s">
        <v>3989</v>
      </c>
      <c r="D293" t="s">
        <v>4011</v>
      </c>
      <c r="E293" t="s">
        <v>4012</v>
      </c>
      <c r="F293" t="s">
        <v>3206</v>
      </c>
      <c r="G293" t="s">
        <v>4013</v>
      </c>
    </row>
    <row r="294" spans="1:7" ht="11.25" customHeight="1">
      <c r="A294" t="s">
        <v>16</v>
      </c>
      <c r="B294" t="s">
        <v>3988</v>
      </c>
      <c r="C294" t="s">
        <v>3989</v>
      </c>
      <c r="D294" t="s">
        <v>3988</v>
      </c>
      <c r="E294" t="s">
        <v>3989</v>
      </c>
      <c r="F294" t="s">
        <v>3207</v>
      </c>
      <c r="G294" t="s">
        <v>4014</v>
      </c>
    </row>
    <row r="295" spans="1:7" ht="11.25" customHeight="1">
      <c r="A295" t="s">
        <v>16</v>
      </c>
      <c r="B295" t="s">
        <v>3988</v>
      </c>
      <c r="C295" t="s">
        <v>3989</v>
      </c>
      <c r="D295" t="s">
        <v>4015</v>
      </c>
      <c r="E295" t="s">
        <v>4016</v>
      </c>
      <c r="F295" t="s">
        <v>3206</v>
      </c>
      <c r="G295" t="s">
        <v>4017</v>
      </c>
    </row>
    <row r="296" spans="1:7" ht="11.25" customHeight="1">
      <c r="A296" t="s">
        <v>16</v>
      </c>
      <c r="B296" t="s">
        <v>3988</v>
      </c>
      <c r="C296" t="s">
        <v>3989</v>
      </c>
      <c r="D296" t="s">
        <v>4018</v>
      </c>
      <c r="E296" t="s">
        <v>4019</v>
      </c>
      <c r="F296" t="s">
        <v>3206</v>
      </c>
      <c r="G296" t="s">
        <v>4020</v>
      </c>
    </row>
    <row r="297" spans="1:7" ht="11.25" customHeight="1">
      <c r="A297" t="s">
        <v>16</v>
      </c>
      <c r="B297" t="s">
        <v>4021</v>
      </c>
      <c r="C297" t="s">
        <v>4022</v>
      </c>
      <c r="D297" t="s">
        <v>4023</v>
      </c>
      <c r="E297" t="s">
        <v>4024</v>
      </c>
      <c r="F297" t="s">
        <v>3206</v>
      </c>
      <c r="G297" t="s">
        <v>4025</v>
      </c>
    </row>
    <row r="298" spans="1:7" ht="11.25" customHeight="1">
      <c r="A298" t="s">
        <v>16</v>
      </c>
      <c r="B298" t="s">
        <v>4021</v>
      </c>
      <c r="C298" t="s">
        <v>4022</v>
      </c>
      <c r="D298" t="s">
        <v>4026</v>
      </c>
      <c r="E298" t="s">
        <v>4027</v>
      </c>
      <c r="F298" t="s">
        <v>3206</v>
      </c>
      <c r="G298" t="s">
        <v>4028</v>
      </c>
    </row>
    <row r="299" spans="1:7" ht="11.25" customHeight="1">
      <c r="A299" t="s">
        <v>16</v>
      </c>
      <c r="B299" t="s">
        <v>4021</v>
      </c>
      <c r="C299" t="s">
        <v>4022</v>
      </c>
      <c r="D299" t="s">
        <v>4029</v>
      </c>
      <c r="E299" t="s">
        <v>4030</v>
      </c>
      <c r="F299" t="s">
        <v>3206</v>
      </c>
      <c r="G299" t="s">
        <v>4031</v>
      </c>
    </row>
    <row r="300" spans="1:7" ht="11.25" customHeight="1">
      <c r="A300" t="s">
        <v>16</v>
      </c>
      <c r="B300" t="s">
        <v>4021</v>
      </c>
      <c r="C300" t="s">
        <v>4022</v>
      </c>
      <c r="D300" t="s">
        <v>4032</v>
      </c>
      <c r="E300" t="s">
        <v>4033</v>
      </c>
      <c r="F300" t="s">
        <v>3206</v>
      </c>
      <c r="G300" t="s">
        <v>4034</v>
      </c>
    </row>
    <row r="301" spans="1:7" ht="11.25" customHeight="1">
      <c r="A301" t="s">
        <v>16</v>
      </c>
      <c r="B301" t="s">
        <v>4021</v>
      </c>
      <c r="C301" t="s">
        <v>4022</v>
      </c>
      <c r="D301" t="s">
        <v>4035</v>
      </c>
      <c r="E301" t="s">
        <v>4036</v>
      </c>
      <c r="F301" t="s">
        <v>3222</v>
      </c>
      <c r="G301" t="s">
        <v>4037</v>
      </c>
    </row>
    <row r="302" spans="1:7" ht="11.25" customHeight="1">
      <c r="A302" t="s">
        <v>16</v>
      </c>
      <c r="B302" t="s">
        <v>4021</v>
      </c>
      <c r="C302" t="s">
        <v>4022</v>
      </c>
      <c r="D302" t="s">
        <v>4021</v>
      </c>
      <c r="E302" t="s">
        <v>4022</v>
      </c>
      <c r="F302" t="s">
        <v>3207</v>
      </c>
      <c r="G302" t="s">
        <v>4038</v>
      </c>
    </row>
    <row r="303" spans="1:7" ht="11.25" customHeight="1">
      <c r="A303" t="s">
        <v>16</v>
      </c>
      <c r="B303" t="s">
        <v>4021</v>
      </c>
      <c r="C303" t="s">
        <v>4022</v>
      </c>
      <c r="D303" t="s">
        <v>4039</v>
      </c>
      <c r="E303" t="s">
        <v>4040</v>
      </c>
      <c r="F303" t="s">
        <v>3206</v>
      </c>
      <c r="G303" t="s">
        <v>4041</v>
      </c>
    </row>
    <row r="304" spans="1:7" ht="11.25" customHeight="1">
      <c r="A304" t="s">
        <v>16</v>
      </c>
      <c r="B304" t="s">
        <v>4042</v>
      </c>
      <c r="C304" t="s">
        <v>4043</v>
      </c>
      <c r="D304" t="s">
        <v>4044</v>
      </c>
      <c r="E304" t="s">
        <v>4045</v>
      </c>
      <c r="F304" t="s">
        <v>3206</v>
      </c>
      <c r="G304" t="s">
        <v>4046</v>
      </c>
    </row>
    <row r="305" spans="1:7" ht="11.25" customHeight="1">
      <c r="A305" t="s">
        <v>16</v>
      </c>
      <c r="B305" t="s">
        <v>4042</v>
      </c>
      <c r="C305" t="s">
        <v>4043</v>
      </c>
      <c r="D305" t="s">
        <v>4047</v>
      </c>
      <c r="E305" t="s">
        <v>4048</v>
      </c>
      <c r="F305" t="s">
        <v>3206</v>
      </c>
      <c r="G305" t="s">
        <v>4049</v>
      </c>
    </row>
    <row r="306" spans="1:7" ht="11.25" customHeight="1">
      <c r="A306" t="s">
        <v>16</v>
      </c>
      <c r="B306" t="s">
        <v>4042</v>
      </c>
      <c r="C306" t="s">
        <v>4043</v>
      </c>
      <c r="D306" t="s">
        <v>3301</v>
      </c>
      <c r="E306" t="s">
        <v>4050</v>
      </c>
      <c r="F306" t="s">
        <v>3206</v>
      </c>
      <c r="G306" t="s">
        <v>4051</v>
      </c>
    </row>
    <row r="307" spans="1:7" ht="11.25" customHeight="1">
      <c r="A307" t="s">
        <v>16</v>
      </c>
      <c r="B307" t="s">
        <v>4042</v>
      </c>
      <c r="C307" t="s">
        <v>4043</v>
      </c>
      <c r="D307" t="s">
        <v>4052</v>
      </c>
      <c r="E307" t="s">
        <v>4053</v>
      </c>
      <c r="F307" t="s">
        <v>3206</v>
      </c>
      <c r="G307" t="s">
        <v>4054</v>
      </c>
    </row>
    <row r="308" spans="1:7" ht="11.25" customHeight="1">
      <c r="A308" t="s">
        <v>16</v>
      </c>
      <c r="B308" t="s">
        <v>4042</v>
      </c>
      <c r="C308" t="s">
        <v>4043</v>
      </c>
      <c r="D308" t="s">
        <v>4055</v>
      </c>
      <c r="E308" t="s">
        <v>4056</v>
      </c>
      <c r="F308" t="s">
        <v>3206</v>
      </c>
      <c r="G308" t="s">
        <v>4057</v>
      </c>
    </row>
    <row r="309" spans="1:7" ht="11.25" customHeight="1">
      <c r="A309" t="s">
        <v>16</v>
      </c>
      <c r="B309" t="s">
        <v>4042</v>
      </c>
      <c r="C309" t="s">
        <v>4043</v>
      </c>
      <c r="D309" t="s">
        <v>4058</v>
      </c>
      <c r="E309" t="s">
        <v>4059</v>
      </c>
      <c r="F309" t="s">
        <v>3206</v>
      </c>
      <c r="G309" t="s">
        <v>4060</v>
      </c>
    </row>
    <row r="310" spans="1:7" ht="11.25" customHeight="1">
      <c r="A310" t="s">
        <v>16</v>
      </c>
      <c r="B310" t="s">
        <v>4042</v>
      </c>
      <c r="C310" t="s">
        <v>4043</v>
      </c>
      <c r="D310" t="s">
        <v>4061</v>
      </c>
      <c r="E310" t="s">
        <v>4062</v>
      </c>
      <c r="F310" t="s">
        <v>3222</v>
      </c>
      <c r="G310" t="s">
        <v>4063</v>
      </c>
    </row>
    <row r="311" spans="1:7" ht="11.25" customHeight="1">
      <c r="A311" t="s">
        <v>16</v>
      </c>
      <c r="B311" t="s">
        <v>4042</v>
      </c>
      <c r="C311" t="s">
        <v>4043</v>
      </c>
      <c r="D311" t="s">
        <v>4064</v>
      </c>
      <c r="E311" t="s">
        <v>4065</v>
      </c>
      <c r="F311" t="s">
        <v>3206</v>
      </c>
      <c r="G311" t="s">
        <v>4066</v>
      </c>
    </row>
    <row r="312" spans="1:7" ht="11.25" customHeight="1">
      <c r="A312" t="s">
        <v>16</v>
      </c>
      <c r="B312" t="s">
        <v>4042</v>
      </c>
      <c r="C312" t="s">
        <v>4043</v>
      </c>
      <c r="D312" t="s">
        <v>4067</v>
      </c>
      <c r="E312" t="s">
        <v>4068</v>
      </c>
      <c r="F312" t="s">
        <v>3206</v>
      </c>
      <c r="G312" t="s">
        <v>4069</v>
      </c>
    </row>
    <row r="313" spans="1:7" ht="11.25" customHeight="1">
      <c r="A313" t="s">
        <v>16</v>
      </c>
      <c r="B313" t="s">
        <v>4042</v>
      </c>
      <c r="C313" t="s">
        <v>4043</v>
      </c>
      <c r="D313" t="s">
        <v>4070</v>
      </c>
      <c r="E313" t="s">
        <v>4071</v>
      </c>
      <c r="F313" t="s">
        <v>3206</v>
      </c>
      <c r="G313" t="s">
        <v>4072</v>
      </c>
    </row>
    <row r="314" spans="1:7" ht="11.25" customHeight="1">
      <c r="A314" t="s">
        <v>16</v>
      </c>
      <c r="B314" t="s">
        <v>4042</v>
      </c>
      <c r="C314" t="s">
        <v>4043</v>
      </c>
      <c r="D314" t="s">
        <v>4073</v>
      </c>
      <c r="E314" t="s">
        <v>4074</v>
      </c>
      <c r="F314" t="s">
        <v>3206</v>
      </c>
      <c r="G314" t="s">
        <v>4075</v>
      </c>
    </row>
    <row r="315" spans="1:7" ht="11.25" customHeight="1">
      <c r="A315" t="s">
        <v>16</v>
      </c>
      <c r="B315" t="s">
        <v>4042</v>
      </c>
      <c r="C315" t="s">
        <v>4043</v>
      </c>
      <c r="D315" t="s">
        <v>4076</v>
      </c>
      <c r="E315" t="s">
        <v>4077</v>
      </c>
      <c r="F315" t="s">
        <v>3206</v>
      </c>
      <c r="G315" t="s">
        <v>4078</v>
      </c>
    </row>
    <row r="316" spans="1:7" ht="11.25" customHeight="1">
      <c r="A316" t="s">
        <v>16</v>
      </c>
      <c r="B316" t="s">
        <v>4042</v>
      </c>
      <c r="C316" t="s">
        <v>4043</v>
      </c>
      <c r="D316" t="s">
        <v>4079</v>
      </c>
      <c r="E316" t="s">
        <v>4080</v>
      </c>
      <c r="F316" t="s">
        <v>3206</v>
      </c>
      <c r="G316" t="s">
        <v>4081</v>
      </c>
    </row>
    <row r="317" spans="1:7" ht="11.25" customHeight="1">
      <c r="A317" t="s">
        <v>16</v>
      </c>
      <c r="B317" t="s">
        <v>4042</v>
      </c>
      <c r="C317" t="s">
        <v>4043</v>
      </c>
      <c r="D317" t="s">
        <v>4042</v>
      </c>
      <c r="E317" t="s">
        <v>4043</v>
      </c>
      <c r="F317" t="s">
        <v>3207</v>
      </c>
      <c r="G317" t="s">
        <v>4082</v>
      </c>
    </row>
    <row r="318" spans="1:7" ht="11.25" customHeight="1">
      <c r="A318" t="s">
        <v>16</v>
      </c>
      <c r="B318" t="s">
        <v>4083</v>
      </c>
      <c r="C318" t="s">
        <v>4084</v>
      </c>
      <c r="D318" t="s">
        <v>4083</v>
      </c>
      <c r="E318" t="s">
        <v>4084</v>
      </c>
      <c r="F318" t="s">
        <v>3353</v>
      </c>
      <c r="G318" t="s">
        <v>4085</v>
      </c>
    </row>
    <row r="319" spans="1:7" ht="11.25" customHeight="1">
      <c r="A319" t="s">
        <v>16</v>
      </c>
      <c r="B319" t="s">
        <v>4086</v>
      </c>
      <c r="C319" t="s">
        <v>4087</v>
      </c>
      <c r="D319" t="s">
        <v>4086</v>
      </c>
      <c r="E319" t="s">
        <v>4087</v>
      </c>
      <c r="F319" t="s">
        <v>3353</v>
      </c>
      <c r="G319" t="s">
        <v>4088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4126</v>
      </c>
      <c r="B1" s="766" t="s">
        <v>4127</v>
      </c>
      <c r="C1" s="766" t="s">
        <v>1186</v>
      </c>
    </row>
    <row r="2" spans="1:3" ht="11.25" customHeight="1">
      <c r="A2" s="766">
        <v>4189678</v>
      </c>
      <c r="B2" s="766" t="s">
        <v>4128</v>
      </c>
      <c r="C2" s="766" t="s">
        <v>4129</v>
      </c>
    </row>
    <row r="3" spans="1:3" ht="11.25" customHeight="1">
      <c r="A3" s="766">
        <v>4190415</v>
      </c>
      <c r="B3" s="766" t="s">
        <v>4130</v>
      </c>
      <c r="C3" s="766" t="s">
        <v>4129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4131</v>
      </c>
      <c r="B1" s="101" t="s">
        <v>4132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4133</v>
      </c>
      <c r="B1" t="b">
        <v>1</v>
      </c>
    </row>
    <row r="2" spans="1:2" ht="11.25" customHeight="1">
      <c r="A2" t="s">
        <v>4134</v>
      </c>
      <c r="B2" t="b">
        <v>0</v>
      </c>
    </row>
    <row r="3" spans="1:2" ht="11.25" customHeight="1">
      <c r="A3" t="s">
        <v>4135</v>
      </c>
      <c r="B3" t="b">
        <v>1</v>
      </c>
    </row>
    <row r="4" spans="1:2" ht="11.25" customHeight="1">
      <c r="A4" t="s">
        <v>4136</v>
      </c>
      <c r="B4" t="b">
        <v>0</v>
      </c>
    </row>
    <row r="5" spans="1:2" ht="11.25" customHeight="1">
      <c r="A5" t="s">
        <v>4137</v>
      </c>
      <c r="B5" t="b">
        <v>0</v>
      </c>
    </row>
    <row r="6" spans="1:2" ht="11.25" customHeight="1">
      <c r="A6" t="s">
        <v>4138</v>
      </c>
      <c r="B6" t="b">
        <v>0</v>
      </c>
    </row>
    <row r="7" spans="1:2" ht="11.25" customHeight="1">
      <c r="A7" t="s">
        <v>4139</v>
      </c>
      <c r="B7" t="b">
        <v>0</v>
      </c>
    </row>
    <row r="8" spans="1:2" ht="11.25" customHeight="1">
      <c r="A8" t="s">
        <v>4140</v>
      </c>
      <c r="B8" t="b">
        <v>0</v>
      </c>
    </row>
    <row r="9" spans="1:2" ht="11.25" customHeight="1">
      <c r="A9" t="s">
        <v>4141</v>
      </c>
      <c r="B9" t="b">
        <v>0</v>
      </c>
    </row>
    <row r="10" spans="1:2" ht="11.25" customHeight="1">
      <c r="A10" t="s">
        <v>4142</v>
      </c>
      <c r="B10" t="b">
        <v>0</v>
      </c>
    </row>
    <row r="11" spans="1:2" ht="11.25" customHeight="1">
      <c r="A11" t="s">
        <v>4143</v>
      </c>
      <c r="B11" t="b">
        <v>0</v>
      </c>
    </row>
    <row r="12" spans="1:2" ht="11.25" customHeight="1">
      <c r="A12" t="s">
        <v>4144</v>
      </c>
      <c r="B12" t="b">
        <v>0</v>
      </c>
    </row>
    <row r="13" spans="1:2" ht="11.25" customHeight="1">
      <c r="A13" t="s">
        <v>4145</v>
      </c>
      <c r="B13" t="b">
        <v>0</v>
      </c>
    </row>
    <row r="14" spans="1:2" ht="11.25" customHeight="1">
      <c r="A14" t="s">
        <v>4146</v>
      </c>
      <c r="B14" t="b">
        <v>1</v>
      </c>
    </row>
    <row r="15" spans="1:2" ht="11.25" customHeight="1">
      <c r="A15" t="s">
        <v>4147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9"/>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4148</v>
      </c>
      <c r="B1" s="7" t="s">
        <v>4149</v>
      </c>
    </row>
    <row r="2" spans="1:2" ht="11.25" customHeight="1">
      <c r="A2" s="4" t="s">
        <v>4150</v>
      </c>
      <c r="B2" s="4" t="s">
        <v>4151</v>
      </c>
    </row>
    <row r="3" spans="1:2" ht="11.25" customHeight="1">
      <c r="A3" s="4" t="s">
        <v>4152</v>
      </c>
      <c r="B3" s="4" t="s">
        <v>4153</v>
      </c>
    </row>
    <row r="4" spans="1:2" ht="11.25" customHeight="1">
      <c r="A4" s="4" t="s">
        <v>4154</v>
      </c>
      <c r="B4" s="4" t="s">
        <v>4155</v>
      </c>
    </row>
    <row r="5" spans="1:2" ht="11.25" customHeight="1">
      <c r="A5" s="4" t="s">
        <v>4156</v>
      </c>
      <c r="B5" s="4" t="s">
        <v>4157</v>
      </c>
    </row>
    <row r="6" spans="1:2" ht="11.25" customHeight="1">
      <c r="A6" s="4" t="s">
        <v>4158</v>
      </c>
      <c r="B6" s="4" t="s">
        <v>4159</v>
      </c>
    </row>
    <row r="7" spans="1:2" ht="11.25" customHeight="1">
      <c r="A7" s="4" t="s">
        <v>4160</v>
      </c>
      <c r="B7" s="4" t="s">
        <v>4161</v>
      </c>
    </row>
    <row r="8" spans="1:2" ht="11.25" customHeight="1">
      <c r="A8" s="4" t="s">
        <v>4162</v>
      </c>
      <c r="B8" s="4" t="s">
        <v>4163</v>
      </c>
    </row>
    <row r="9" spans="1:2" ht="11.25" customHeight="1">
      <c r="A9" s="4" t="s">
        <v>4164</v>
      </c>
      <c r="B9" s="4" t="s">
        <v>4165</v>
      </c>
    </row>
    <row r="10" spans="1:2" ht="11.25" customHeight="1">
      <c r="A10" s="4" t="s">
        <v>4166</v>
      </c>
      <c r="B10" s="4" t="s">
        <v>4167</v>
      </c>
    </row>
    <row r="11" spans="1:2" ht="11.25" customHeight="1">
      <c r="A11" s="4" t="s">
        <v>4168</v>
      </c>
      <c r="B11" s="4" t="s">
        <v>4169</v>
      </c>
    </row>
    <row r="12" spans="1:2" ht="11.25" customHeight="1">
      <c r="A12" s="4" t="s">
        <v>4170</v>
      </c>
      <c r="B12" s="4" t="s">
        <v>4171</v>
      </c>
    </row>
    <row r="13" spans="1:2" ht="11.25" customHeight="1">
      <c r="A13" s="4" t="s">
        <v>4172</v>
      </c>
      <c r="B13" s="4" t="s">
        <v>4173</v>
      </c>
    </row>
    <row r="14" spans="1:2" ht="11.25" customHeight="1">
      <c r="A14" s="4" t="s">
        <v>4174</v>
      </c>
      <c r="B14" s="4" t="s">
        <v>4175</v>
      </c>
    </row>
    <row r="15" spans="1:2" ht="11.25" customHeight="1">
      <c r="A15" s="4" t="s">
        <v>4176</v>
      </c>
      <c r="B15" s="4" t="s">
        <v>4177</v>
      </c>
    </row>
    <row r="16" spans="1:2" ht="11.25" customHeight="1">
      <c r="A16" s="4" t="s">
        <v>4178</v>
      </c>
      <c r="B16" s="4" t="s">
        <v>4179</v>
      </c>
    </row>
    <row r="17" spans="1:2" ht="11.25" customHeight="1">
      <c r="A17" s="4" t="s">
        <v>4180</v>
      </c>
      <c r="B17" s="4" t="s">
        <v>4181</v>
      </c>
    </row>
    <row r="18" spans="1:2" ht="11.25" customHeight="1">
      <c r="A18" s="4" t="s">
        <v>4182</v>
      </c>
      <c r="B18" s="4" t="s">
        <v>4183</v>
      </c>
    </row>
    <row r="19" spans="1:2" ht="11.25" customHeight="1">
      <c r="A19" s="4" t="s">
        <v>4184</v>
      </c>
      <c r="B19" s="4" t="s">
        <v>4185</v>
      </c>
    </row>
    <row r="20" spans="1:2" ht="11.25" customHeight="1">
      <c r="A20" s="4" t="s">
        <v>4186</v>
      </c>
      <c r="B20" s="4" t="s">
        <v>4187</v>
      </c>
    </row>
    <row r="21" spans="1:2" ht="11.25" customHeight="1">
      <c r="A21" s="4" t="s">
        <v>4188</v>
      </c>
      <c r="B21" s="4" t="s">
        <v>4189</v>
      </c>
    </row>
    <row r="22" spans="1:2" ht="11.25" customHeight="1">
      <c r="A22" s="4" t="s">
        <v>4190</v>
      </c>
      <c r="B22" s="4" t="s">
        <v>4191</v>
      </c>
    </row>
    <row r="23" spans="1:2" ht="11.25" customHeight="1">
      <c r="A23" s="4" t="s">
        <v>4192</v>
      </c>
      <c r="B23" s="4" t="s">
        <v>4193</v>
      </c>
    </row>
    <row r="24" spans="1:2" ht="11.25" customHeight="1">
      <c r="A24" s="4" t="s">
        <v>4194</v>
      </c>
      <c r="B24" s="4" t="s">
        <v>4195</v>
      </c>
    </row>
    <row r="25" spans="1:2" ht="11.25" customHeight="1">
      <c r="A25" s="4" t="s">
        <v>4196</v>
      </c>
      <c r="B25" s="4" t="s">
        <v>4197</v>
      </c>
    </row>
    <row r="26" spans="1:2" ht="11.25" customHeight="1">
      <c r="A26" s="4" t="s">
        <v>4198</v>
      </c>
      <c r="B26" s="4" t="s">
        <v>4199</v>
      </c>
    </row>
    <row r="27" spans="1:2" ht="11.25" customHeight="1">
      <c r="A27" s="4" t="s">
        <v>4200</v>
      </c>
      <c r="B27" s="4" t="s">
        <v>4201</v>
      </c>
    </row>
    <row r="28" spans="1:2" ht="11.25" customHeight="1">
      <c r="A28" s="4" t="s">
        <v>4202</v>
      </c>
      <c r="B28" s="4" t="s">
        <v>4203</v>
      </c>
    </row>
    <row r="29" spans="1:2" ht="11.25" customHeight="1">
      <c r="A29" s="4" t="s">
        <v>4204</v>
      </c>
      <c r="B29" s="4" t="s">
        <v>4205</v>
      </c>
    </row>
    <row r="30" spans="1:2" ht="11.25" customHeight="1">
      <c r="A30" s="4" t="s">
        <v>4206</v>
      </c>
      <c r="B30" s="4" t="s">
        <v>4207</v>
      </c>
    </row>
    <row r="31" spans="1:2" ht="11.25" customHeight="1">
      <c r="A31" s="4" t="s">
        <v>4208</v>
      </c>
      <c r="B31" s="4" t="s">
        <v>4209</v>
      </c>
    </row>
    <row r="32" spans="1:2" ht="11.25" customHeight="1">
      <c r="A32" s="4" t="s">
        <v>4210</v>
      </c>
      <c r="B32" s="4" t="s">
        <v>4211</v>
      </c>
    </row>
    <row r="33" spans="1:2" ht="11.25" customHeight="1">
      <c r="A33" s="4" t="s">
        <v>4212</v>
      </c>
      <c r="B33" s="4" t="s">
        <v>4213</v>
      </c>
    </row>
    <row r="34" spans="1:2" ht="11.25" customHeight="1">
      <c r="A34" s="4" t="s">
        <v>4214</v>
      </c>
      <c r="B34" s="4" t="s">
        <v>4215</v>
      </c>
    </row>
    <row r="35" spans="1:2" ht="11.25" customHeight="1">
      <c r="A35" s="4" t="s">
        <v>4216</v>
      </c>
      <c r="B35" s="4" t="s">
        <v>4217</v>
      </c>
    </row>
    <row r="36" spans="1:2" ht="11.25" customHeight="1">
      <c r="A36" s="4" t="s">
        <v>4218</v>
      </c>
      <c r="B36" s="4" t="s">
        <v>4219</v>
      </c>
    </row>
    <row r="37" spans="1:2" ht="11.25" customHeight="1">
      <c r="A37" s="4" t="s">
        <v>4220</v>
      </c>
      <c r="B37" s="4" t="s">
        <v>4221</v>
      </c>
    </row>
    <row r="38" spans="1:2" ht="11.25" customHeight="1">
      <c r="A38" s="4" t="s">
        <v>4222</v>
      </c>
      <c r="B38" s="4" t="s">
        <v>4223</v>
      </c>
    </row>
    <row r="39" spans="1:2" ht="11.25" customHeight="1">
      <c r="A39" s="4" t="s">
        <v>4224</v>
      </c>
      <c r="B39" s="4" t="s">
        <v>4225</v>
      </c>
    </row>
    <row r="40" spans="1:2" ht="11.25" customHeight="1">
      <c r="A40" s="4" t="s">
        <v>4226</v>
      </c>
      <c r="B40" s="4" t="s">
        <v>4227</v>
      </c>
    </row>
    <row r="41" spans="1:2" ht="11.25" customHeight="1">
      <c r="A41" s="4" t="s">
        <v>4228</v>
      </c>
      <c r="B41" s="4" t="s">
        <v>4229</v>
      </c>
    </row>
    <row r="42" spans="1:2" ht="11.25" customHeight="1">
      <c r="A42" s="4" t="s">
        <v>4230</v>
      </c>
      <c r="B42" s="4" t="s">
        <v>4231</v>
      </c>
    </row>
    <row r="43" spans="1:2" ht="11.25" customHeight="1">
      <c r="A43" s="4" t="s">
        <v>4232</v>
      </c>
      <c r="B43" s="4" t="s">
        <v>4233</v>
      </c>
    </row>
    <row r="44" spans="1:2" ht="11.25" customHeight="1">
      <c r="A44" s="4" t="s">
        <v>4234</v>
      </c>
      <c r="B44" s="4" t="s">
        <v>4235</v>
      </c>
    </row>
    <row r="45" spans="1:2" ht="11.25" customHeight="1">
      <c r="A45" s="4" t="s">
        <v>4236</v>
      </c>
      <c r="B45" s="4" t="s">
        <v>4237</v>
      </c>
    </row>
    <row r="46" spans="1:2" ht="11.25" customHeight="1">
      <c r="A46" s="4" t="s">
        <v>4238</v>
      </c>
      <c r="B46" s="4" t="s">
        <v>4239</v>
      </c>
    </row>
    <row r="47" spans="1:2" ht="11.25" customHeight="1">
      <c r="A47" s="4" t="s">
        <v>4240</v>
      </c>
      <c r="B47" s="4" t="s">
        <v>4241</v>
      </c>
    </row>
    <row r="48" spans="1:2" ht="11.25" customHeight="1">
      <c r="A48" s="4" t="s">
        <v>4242</v>
      </c>
      <c r="B48" s="4" t="s">
        <v>4243</v>
      </c>
    </row>
    <row r="49" spans="1:2" ht="11.25" customHeight="1">
      <c r="A49" s="4" t="s">
        <v>4244</v>
      </c>
      <c r="B49" s="4" t="s">
        <v>4245</v>
      </c>
    </row>
    <row r="50" spans="1:2" ht="11.25" customHeight="1">
      <c r="A50" s="4" t="s">
        <v>4246</v>
      </c>
      <c r="B50" s="4" t="s">
        <v>4247</v>
      </c>
    </row>
    <row r="51" spans="1:2" ht="11.25" customHeight="1">
      <c r="A51" s="4" t="s">
        <v>4248</v>
      </c>
      <c r="B51" s="4" t="s">
        <v>4249</v>
      </c>
    </row>
    <row r="52" spans="1:2" ht="11.25" customHeight="1">
      <c r="A52" s="4" t="s">
        <v>4250</v>
      </c>
      <c r="B52" s="4" t="s">
        <v>4251</v>
      </c>
    </row>
    <row r="53" spans="1:2" ht="11.25" customHeight="1">
      <c r="A53" s="4" t="s">
        <v>4252</v>
      </c>
      <c r="B53" s="4" t="s">
        <v>4253</v>
      </c>
    </row>
    <row r="54" spans="1:2" ht="11.25" customHeight="1">
      <c r="A54" s="4" t="s">
        <v>4254</v>
      </c>
      <c r="B54" s="4" t="s">
        <v>4255</v>
      </c>
    </row>
    <row r="55" spans="1:2" ht="11.25" customHeight="1">
      <c r="A55" s="4" t="s">
        <v>4256</v>
      </c>
      <c r="B55" s="4" t="s">
        <v>4257</v>
      </c>
    </row>
    <row r="56" spans="1:2" ht="11.25" customHeight="1">
      <c r="A56" s="4" t="s">
        <v>4258</v>
      </c>
      <c r="B56" s="4" t="s">
        <v>4259</v>
      </c>
    </row>
    <row r="57" spans="1:2" ht="11.25" customHeight="1">
      <c r="A57" s="4" t="s">
        <v>4260</v>
      </c>
      <c r="B57" s="4" t="s">
        <v>4261</v>
      </c>
    </row>
    <row r="58" spans="1:2" ht="11.25" customHeight="1">
      <c r="A58" s="4" t="s">
        <v>4262</v>
      </c>
      <c r="B58" s="4" t="s">
        <v>4263</v>
      </c>
    </row>
    <row r="59" spans="1:2" ht="11.25" customHeight="1">
      <c r="A59" s="4" t="s">
        <v>4264</v>
      </c>
      <c r="B59" s="4" t="s">
        <v>4265</v>
      </c>
    </row>
    <row r="60" spans="1:2" ht="11.25" customHeight="1">
      <c r="A60" s="4" t="s">
        <v>4266</v>
      </c>
      <c r="B60" s="4" t="s">
        <v>4267</v>
      </c>
    </row>
    <row r="61" spans="1:2" ht="11.25" customHeight="1">
      <c r="A61" s="4"/>
      <c r="B61" s="4" t="s">
        <v>4268</v>
      </c>
    </row>
    <row r="62" spans="1:2" ht="11.25" customHeight="1">
      <c r="A62" s="4"/>
      <c r="B62" s="4" t="s">
        <v>4269</v>
      </c>
    </row>
    <row r="63" spans="1:2" ht="11.25" customHeight="1">
      <c r="A63" s="4"/>
      <c r="B63" s="4" t="s">
        <v>4270</v>
      </c>
    </row>
    <row r="64" spans="1:2" ht="11.25" customHeight="1">
      <c r="A64" s="4"/>
      <c r="B64" s="4" t="s">
        <v>4271</v>
      </c>
    </row>
    <row r="65" spans="1:2" ht="11.25" customHeight="1">
      <c r="A65" s="4"/>
      <c r="B65" s="4" t="s">
        <v>4272</v>
      </c>
    </row>
    <row r="66" spans="1:2" ht="11.25" customHeight="1">
      <c r="A66" s="4"/>
      <c r="B66" s="4" t="s">
        <v>4273</v>
      </c>
    </row>
    <row r="67" spans="1:2" ht="11.25" customHeight="1">
      <c r="A67" s="4"/>
      <c r="B67" s="4" t="s">
        <v>4274</v>
      </c>
    </row>
    <row r="68" spans="1:2" ht="11.25" customHeight="1">
      <c r="A68" s="4"/>
      <c r="B68" s="4" t="s">
        <v>4275</v>
      </c>
    </row>
    <row r="69" spans="1:2" ht="11.25" customHeight="1">
      <c r="A69" s="4"/>
      <c r="B69" s="4" t="s">
        <v>4276</v>
      </c>
    </row>
    <row r="70" spans="1:2" ht="11.25" customHeight="1">
      <c r="A70" s="4"/>
      <c r="B70" s="4" t="s">
        <v>4277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4278</v>
      </c>
    </row>
    <row r="2" spans="2:4" ht="90" customHeight="1">
      <c r="B2" s="34" t="s">
        <v>4279</v>
      </c>
    </row>
    <row r="3" spans="2:4" ht="67.5" customHeight="1">
      <c r="B3" s="34" t="s">
        <v>4280</v>
      </c>
    </row>
    <row r="4" spans="2:4" ht="33.75" customHeight="1">
      <c r="B4" s="34" t="s">
        <v>4281</v>
      </c>
    </row>
    <row r="5" spans="2:4" ht="11.25" customHeight="1">
      <c r="B5" s="34" t="s">
        <v>4282</v>
      </c>
    </row>
    <row r="6" spans="2:4" ht="22.5" customHeight="1">
      <c r="B6" s="34" t="s">
        <v>4283</v>
      </c>
    </row>
    <row r="7" spans="2:4" ht="22.5" customHeight="1">
      <c r="B7" s="34" t="s">
        <v>4284</v>
      </c>
    </row>
    <row r="8" spans="2:4" ht="22.5" customHeight="1">
      <c r="B8" s="34" t="s">
        <v>4285</v>
      </c>
    </row>
    <row r="9" spans="2:4" ht="22.5" customHeight="1">
      <c r="B9" s="34" t="s">
        <v>4286</v>
      </c>
    </row>
    <row r="10" spans="2:4" ht="56.25" customHeight="1">
      <c r="B10" s="34" t="s">
        <v>4287</v>
      </c>
    </row>
    <row r="11" spans="2:4" ht="12.75" customHeight="1">
      <c r="B11" s="97" t="s">
        <v>4288</v>
      </c>
    </row>
    <row r="12" spans="2:4" ht="11.25" customHeight="1">
      <c r="B12" s="33" t="s">
        <v>4289</v>
      </c>
    </row>
    <row r="13" spans="2:4" ht="22.5" customHeight="1">
      <c r="B13" s="34" t="s">
        <v>4290</v>
      </c>
    </row>
    <row r="14" spans="2:4" ht="67.5" customHeight="1">
      <c r="B14" s="34" t="s">
        <v>4291</v>
      </c>
    </row>
    <row r="15" spans="2:4" ht="22.5" customHeight="1">
      <c r="B15" s="34" t="s">
        <v>4292</v>
      </c>
    </row>
    <row r="16" spans="2:4" ht="11.25" customHeight="1">
      <c r="B16" s="33" t="s">
        <v>4293</v>
      </c>
      <c r="D16" s="40"/>
    </row>
    <row r="17" spans="1:2" ht="33.75" customHeight="1">
      <c r="B17" s="34" t="s">
        <v>4294</v>
      </c>
    </row>
    <row r="18" spans="1:2" ht="33.75" customHeight="1">
      <c r="B18" s="34" t="s">
        <v>4295</v>
      </c>
    </row>
    <row r="19" spans="1:2" ht="11.25" customHeight="1">
      <c r="B19" s="34" t="s">
        <v>4296</v>
      </c>
    </row>
    <row r="20" spans="1:2" ht="33.75" customHeight="1">
      <c r="B20" s="34" t="s">
        <v>4297</v>
      </c>
    </row>
    <row r="21" spans="1:2" ht="11.25" customHeight="1">
      <c r="B21" s="33" t="s">
        <v>4298</v>
      </c>
    </row>
    <row r="22" spans="1:2" ht="11.25" customHeight="1">
      <c r="B22" s="34" t="s">
        <v>4299</v>
      </c>
    </row>
    <row r="24" spans="1:2" ht="22.5" customHeight="1">
      <c r="B24" s="99" t="s">
        <v>4300</v>
      </c>
    </row>
    <row r="26" spans="1:2" ht="11.25" customHeight="1">
      <c r="B26" s="33" t="s">
        <v>4301</v>
      </c>
    </row>
    <row r="27" spans="1:2" ht="22.5" customHeight="1">
      <c r="B27" s="98" t="s">
        <v>402</v>
      </c>
    </row>
    <row r="28" spans="1:2" ht="56.25" customHeight="1">
      <c r="B28" s="98" t="s">
        <v>4302</v>
      </c>
    </row>
    <row r="29" spans="1:2" ht="11.25" customHeight="1">
      <c r="B29" s="148" t="s">
        <v>4303</v>
      </c>
    </row>
    <row r="30" spans="1:2" ht="22.5" customHeight="1">
      <c r="B30" s="98" t="s">
        <v>4304</v>
      </c>
    </row>
    <row r="32" spans="1:2" ht="11.25" customHeight="1">
      <c r="A32" s="126"/>
      <c r="B32" s="127" t="s">
        <v>4305</v>
      </c>
    </row>
    <row r="33" spans="1:2" ht="14.25" customHeight="1">
      <c r="A33" s="128">
        <v>1</v>
      </c>
      <c r="B33" s="129" t="s">
        <v>4306</v>
      </c>
    </row>
    <row r="34" spans="1:2" ht="14.25" customHeight="1">
      <c r="A34" s="128">
        <v>2</v>
      </c>
      <c r="B34" s="129" t="s">
        <v>4307</v>
      </c>
    </row>
    <row r="35" spans="1:2" ht="11.25" customHeight="1">
      <c r="B35" s="127" t="s">
        <v>4308</v>
      </c>
    </row>
    <row r="36" spans="1:2" ht="11.25" customHeight="1">
      <c r="B36" s="129" t="s">
        <v>4309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29" t="s">
        <v>358</v>
      </c>
      <c r="I1" s="2229"/>
      <c r="V1" s="1534" t="s">
        <v>14</v>
      </c>
    </row>
    <row r="2" spans="1:22" s="1562" customFormat="1" ht="14.25" hidden="1" customHeight="1">
      <c r="C2" s="1546"/>
      <c r="D2" s="2233" t="s">
        <v>110</v>
      </c>
      <c r="E2" s="2235"/>
      <c r="F2" s="1552"/>
      <c r="G2" s="1547" t="s">
        <v>110</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34"/>
      <c r="E3" s="2236"/>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32" t="s">
        <v>390</v>
      </c>
      <c r="E6" s="2232"/>
      <c r="F6" s="2232"/>
      <c r="G6" s="2232"/>
      <c r="H6" s="2232"/>
      <c r="I6" s="2232"/>
      <c r="J6" s="428"/>
      <c r="K6" s="1542"/>
      <c r="V6" s="1534">
        <v>28</v>
      </c>
    </row>
    <row r="7" spans="1:22" ht="18" customHeight="1">
      <c r="C7" s="1443"/>
      <c r="D7" s="2204" t="str">
        <f>IF(org=0,"Не определено",org)</f>
        <v>ООО ПКФ "Энергетик-2001"</v>
      </c>
      <c r="E7" s="2204"/>
      <c r="F7" s="2204"/>
      <c r="G7" s="2204"/>
      <c r="H7" s="2204"/>
      <c r="I7" s="220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17" t="s">
        <v>306</v>
      </c>
      <c r="E10" s="2230"/>
      <c r="F10" s="2230"/>
      <c r="G10" s="2230"/>
      <c r="H10" s="2230"/>
      <c r="I10" s="2230"/>
      <c r="J10" s="2175" t="s">
        <v>307</v>
      </c>
      <c r="V10" s="1534">
        <v>14</v>
      </c>
    </row>
    <row r="11" spans="1:22" ht="27.4" customHeight="1">
      <c r="C11" s="1443"/>
      <c r="D11" s="2116" t="s">
        <v>88</v>
      </c>
      <c r="E11" s="2175" t="s">
        <v>106</v>
      </c>
      <c r="F11" s="2185" t="s">
        <v>88</v>
      </c>
      <c r="G11" s="2186"/>
      <c r="H11" s="2184" t="s">
        <v>391</v>
      </c>
      <c r="I11" s="2184" t="s">
        <v>392</v>
      </c>
      <c r="J11" s="2175"/>
      <c r="V11" s="1534">
        <v>26</v>
      </c>
    </row>
    <row r="12" spans="1:22" ht="14.65" customHeight="1">
      <c r="C12" s="1443"/>
      <c r="D12" s="2116"/>
      <c r="E12" s="2175"/>
      <c r="F12" s="2190"/>
      <c r="G12" s="2191"/>
      <c r="H12" s="2237"/>
      <c r="I12" s="2237"/>
      <c r="J12" s="2175"/>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33" t="s">
        <v>110</v>
      </c>
      <c r="E14" s="2235"/>
      <c r="F14" s="1544"/>
      <c r="G14" s="1543" t="s">
        <v>110</v>
      </c>
      <c r="H14" s="1550"/>
      <c r="I14" s="1548"/>
      <c r="J14" s="2160" t="s">
        <v>393</v>
      </c>
      <c r="K14" s="1534"/>
      <c r="R14" s="437" t="s">
        <v>387</v>
      </c>
      <c r="S14" s="437" t="s">
        <v>387</v>
      </c>
      <c r="V14" s="1534">
        <v>14</v>
      </c>
    </row>
    <row r="15" spans="1:22" ht="14.65" customHeight="1">
      <c r="A15" s="1534"/>
      <c r="C15" s="1443"/>
      <c r="D15" s="2234"/>
      <c r="E15" s="2236"/>
      <c r="F15" s="342"/>
      <c r="G15" s="800"/>
      <c r="H15" s="800" t="s">
        <v>389</v>
      </c>
      <c r="I15" s="251"/>
      <c r="J15" s="2161"/>
      <c r="K15" s="1534"/>
      <c r="R15" s="437"/>
      <c r="S15" s="437"/>
      <c r="V15" s="1534">
        <v>14</v>
      </c>
    </row>
    <row r="16" spans="1:22" ht="14.65" customHeight="1">
      <c r="A16" s="1534"/>
      <c r="C16" s="1443"/>
      <c r="D16" s="342"/>
      <c r="E16" s="800" t="s">
        <v>122</v>
      </c>
      <c r="F16" s="251"/>
      <c r="G16" s="251"/>
      <c r="H16" s="343"/>
      <c r="I16" s="343"/>
      <c r="J16" s="2162"/>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Трушина Наталья Александровна</cp:lastModifiedBy>
  <cp:lastPrinted>2013-08-29T08:11:20Z</cp:lastPrinted>
  <dcterms:created xsi:type="dcterms:W3CDTF">2004-05-21T07:18:45Z</dcterms:created>
  <dcterms:modified xsi:type="dcterms:W3CDTF">2025-11-13T13:01:36Z</dcterms:modified>
</cp:coreProperties>
</file>